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05" windowWidth="20730" windowHeight="11760" tabRatio="951" activeTab="1"/>
  </bookViews>
  <sheets>
    <sheet name="Summary_of_rate" sheetId="17" r:id="rId1"/>
    <sheet name="basic_rates" sheetId="1" r:id="rId2"/>
    <sheet name="EARTHWORK900" sheetId="6" r:id="rId3"/>
    <sheet name="MASONRY2600" sheetId="5" r:id="rId4"/>
    <sheet name="GABION2400" sheetId="7" r:id="rId5"/>
    <sheet name="CONCRETE2000" sheetId="8" r:id="rId6"/>
    <sheet name="Hume_Pipes" sheetId="15" r:id="rId7"/>
    <sheet name="FORMWORK1800" sheetId="9" r:id="rId8"/>
    <sheet name="soling_gravel" sheetId="16" r:id="rId9"/>
    <sheet name="TRANSPORT800" sheetId="12" r:id="rId10"/>
    <sheet name="loading_unloading" sheetId="14" r:id="rId11"/>
    <sheet name="collection_rate" sheetId="18" r:id="rId12"/>
    <sheet name="District rate" sheetId="19" r:id="rId13"/>
  </sheets>
  <externalReferences>
    <externalReference r:id="rId14"/>
  </externalReferences>
  <definedNames>
    <definedName name="_xlnm.Print_Area" localSheetId="1">basic_rates!$A$2:$J$62</definedName>
    <definedName name="_xlnm.Print_Area" localSheetId="12">'District rate'!$A$1:$J$64</definedName>
    <definedName name="_xlnm.Print_Area" localSheetId="4">GABION2400!$A$1:$P$46</definedName>
    <definedName name="_xlnm.Print_Area" localSheetId="10">loading_unloading!$B$2:$G$43</definedName>
    <definedName name="skilled">basic_rates!$H$49</definedName>
    <definedName name="stone">basic_rates!$D$29</definedName>
    <definedName name="unskilled">'[1]mat. rate'!$D$77</definedName>
  </definedNames>
  <calcPr calcId="144525"/>
</workbook>
</file>

<file path=xl/calcChain.xml><?xml version="1.0" encoding="utf-8"?>
<calcChain xmlns="http://schemas.openxmlformats.org/spreadsheetml/2006/main">
  <c r="E7" i="15" l="1"/>
  <c r="E44" i="7"/>
  <c r="E24" i="7"/>
  <c r="D61" i="1"/>
  <c r="D39" i="19" s="1"/>
  <c r="D42" i="1" l="1"/>
  <c r="D41" i="1"/>
  <c r="D49" i="1"/>
  <c r="D45" i="1"/>
  <c r="D44" i="1"/>
  <c r="D29" i="1"/>
  <c r="D27" i="1"/>
  <c r="D23" i="1"/>
  <c r="D22" i="1"/>
  <c r="D21" i="1"/>
  <c r="D17" i="1"/>
  <c r="D16" i="1"/>
  <c r="D15" i="1"/>
  <c r="D14" i="1"/>
  <c r="D12" i="1"/>
  <c r="E5" i="18" l="1"/>
  <c r="E15" i="18" s="1"/>
  <c r="F15" i="18" s="1"/>
  <c r="P15" i="18" s="1"/>
  <c r="L16" i="18" s="1"/>
  <c r="D56" i="1"/>
  <c r="E10" i="18" l="1"/>
  <c r="F10" i="18" s="1"/>
  <c r="P10" i="18" s="1"/>
  <c r="L11" i="18" s="1"/>
  <c r="D28" i="1" s="1"/>
  <c r="F5" i="18"/>
  <c r="P5" i="18" s="1"/>
  <c r="L6" i="18" s="1"/>
  <c r="K19" i="16"/>
  <c r="P18" i="16"/>
  <c r="K18" i="16"/>
  <c r="K20" i="16" s="1"/>
  <c r="K8" i="16" l="1"/>
  <c r="P7" i="16"/>
  <c r="P9" i="16" s="1"/>
  <c r="K7" i="16"/>
  <c r="E7" i="16"/>
  <c r="E18" i="16" s="1"/>
  <c r="F18" i="16" s="1"/>
  <c r="F6" i="16"/>
  <c r="P7" i="15"/>
  <c r="P17" i="15"/>
  <c r="P37" i="15"/>
  <c r="P27" i="15"/>
  <c r="E27" i="15"/>
  <c r="F27" i="15" s="1"/>
  <c r="E26" i="15"/>
  <c r="F26" i="15" s="1"/>
  <c r="K44" i="6"/>
  <c r="P43" i="6"/>
  <c r="P42" i="6"/>
  <c r="P44" i="6" s="1"/>
  <c r="K35" i="6"/>
  <c r="P34" i="6"/>
  <c r="D57" i="1"/>
  <c r="D58" i="1"/>
  <c r="D60" i="1"/>
  <c r="D62" i="1"/>
  <c r="D59" i="1"/>
  <c r="D55" i="1"/>
  <c r="D53" i="1"/>
  <c r="D52" i="1"/>
  <c r="D40" i="1"/>
  <c r="F7" i="16" l="1"/>
  <c r="F9" i="16" s="1"/>
  <c r="E36" i="15"/>
  <c r="F36" i="15" s="1"/>
  <c r="E37" i="15"/>
  <c r="F37" i="15" s="1"/>
  <c r="F29" i="15"/>
  <c r="P26" i="15" s="1"/>
  <c r="P29" i="15" s="1"/>
  <c r="K23" i="12"/>
  <c r="E41" i="14"/>
  <c r="F41" i="14" s="1"/>
  <c r="E40" i="14"/>
  <c r="F40" i="14" s="1"/>
  <c r="E38" i="14"/>
  <c r="F38" i="14" s="1"/>
  <c r="E31" i="14"/>
  <c r="F31" i="14" s="1"/>
  <c r="E23" i="14"/>
  <c r="F23" i="14" s="1"/>
  <c r="E22" i="14"/>
  <c r="F22" i="14" s="1"/>
  <c r="E15" i="14"/>
  <c r="F15" i="14" s="1"/>
  <c r="E14" i="14"/>
  <c r="F14" i="14" s="1"/>
  <c r="D10" i="12"/>
  <c r="D11" i="12"/>
  <c r="D9" i="12"/>
  <c r="J5" i="12"/>
  <c r="H23" i="12" s="1"/>
  <c r="I5" i="12"/>
  <c r="H5" i="12"/>
  <c r="H24" i="12" l="1"/>
  <c r="H21" i="12"/>
  <c r="F39" i="15"/>
  <c r="P36" i="15" s="1"/>
  <c r="P39" i="15" s="1"/>
  <c r="H19" i="12"/>
  <c r="H20" i="12"/>
  <c r="H22" i="12"/>
  <c r="F24" i="14"/>
  <c r="F25" i="14" s="1"/>
  <c r="K19" i="12" s="1"/>
  <c r="H18" i="12"/>
  <c r="F16" i="14"/>
  <c r="F17" i="14" s="1"/>
  <c r="K18" i="12" s="1"/>
  <c r="P7" i="9" l="1"/>
  <c r="E7" i="9"/>
  <c r="F7" i="9" s="1"/>
  <c r="E6" i="9"/>
  <c r="F6" i="9" s="1"/>
  <c r="K35" i="8"/>
  <c r="K22" i="8"/>
  <c r="P18" i="8"/>
  <c r="K9" i="8"/>
  <c r="P7" i="8"/>
  <c r="E7" i="8"/>
  <c r="E18" i="8" s="1"/>
  <c r="E6" i="8"/>
  <c r="F6" i="8" s="1"/>
  <c r="P45" i="7"/>
  <c r="I36" i="7"/>
  <c r="P15" i="7"/>
  <c r="P51" i="5"/>
  <c r="P40" i="5"/>
  <c r="J20" i="5"/>
  <c r="J31" i="5" s="1"/>
  <c r="P29" i="5"/>
  <c r="P18" i="5"/>
  <c r="K9" i="5"/>
  <c r="E6" i="5"/>
  <c r="F6" i="5" s="1"/>
  <c r="K26" i="6"/>
  <c r="K17" i="6"/>
  <c r="P16" i="6"/>
  <c r="K8" i="6"/>
  <c r="P7" i="6"/>
  <c r="E7" i="6"/>
  <c r="F7" i="6" s="1"/>
  <c r="E6" i="6"/>
  <c r="F6" i="6" s="1"/>
  <c r="P7" i="5"/>
  <c r="E7" i="5"/>
  <c r="F7" i="5" s="1"/>
  <c r="K20" i="5" l="1"/>
  <c r="F18" i="8"/>
  <c r="E31" i="8"/>
  <c r="K31" i="5"/>
  <c r="J42" i="5"/>
  <c r="J53" i="5" s="1"/>
  <c r="K53" i="5" s="1"/>
  <c r="E29" i="5"/>
  <c r="F29" i="5" s="1"/>
  <c r="E28" i="5"/>
  <c r="F28" i="5" s="1"/>
  <c r="E17" i="5"/>
  <c r="F8" i="6"/>
  <c r="E18" i="5"/>
  <c r="F9" i="9"/>
  <c r="E17" i="8"/>
  <c r="F7" i="8"/>
  <c r="F10" i="8" s="1"/>
  <c r="P6" i="8" s="1"/>
  <c r="F7" i="7"/>
  <c r="F10" i="5"/>
  <c r="E51" i="5" l="1"/>
  <c r="F51" i="5" s="1"/>
  <c r="E44" i="8"/>
  <c r="F44" i="8" s="1"/>
  <c r="F31" i="8"/>
  <c r="F17" i="8"/>
  <c r="F23" i="8" s="1"/>
  <c r="P17" i="8" s="1"/>
  <c r="P23" i="8" s="1"/>
  <c r="E30" i="8"/>
  <c r="K42" i="5"/>
  <c r="F32" i="5"/>
  <c r="E50" i="5"/>
  <c r="F50" i="5" s="1"/>
  <c r="F17" i="5"/>
  <c r="E39" i="5"/>
  <c r="F39" i="5" s="1"/>
  <c r="F18" i="5"/>
  <c r="E40" i="5"/>
  <c r="F40" i="5" s="1"/>
  <c r="P9" i="9"/>
  <c r="P10" i="8"/>
  <c r="P6" i="7"/>
  <c r="P7" i="7" s="1"/>
  <c r="P54" i="5"/>
  <c r="P6" i="5"/>
  <c r="P10" i="5" s="1"/>
  <c r="F54" i="5" l="1"/>
  <c r="E43" i="8"/>
  <c r="F43" i="8" s="1"/>
  <c r="F45" i="8" s="1"/>
  <c r="P45" i="8" s="1"/>
  <c r="F30" i="8"/>
  <c r="F36" i="8" s="1"/>
  <c r="F21" i="5"/>
  <c r="P17" i="5" s="1"/>
  <c r="P21" i="5" s="1"/>
  <c r="F43" i="5"/>
  <c r="P16" i="7"/>
  <c r="H50" i="1" l="1"/>
  <c r="H48" i="1"/>
  <c r="H49" i="1"/>
  <c r="H47" i="1"/>
  <c r="H45" i="1"/>
  <c r="E45" i="1"/>
  <c r="H44" i="1"/>
  <c r="J8" i="9" s="1"/>
  <c r="K8" i="9" s="1"/>
  <c r="H43" i="1"/>
  <c r="H42" i="1"/>
  <c r="H41" i="1"/>
  <c r="H37" i="1"/>
  <c r="E36" i="1"/>
  <c r="D36" i="1"/>
  <c r="D35" i="1"/>
  <c r="E34" i="1"/>
  <c r="E44" i="1" s="1"/>
  <c r="D32" i="1"/>
  <c r="D31" i="1"/>
  <c r="D30" i="1"/>
  <c r="H30" i="1" s="1"/>
  <c r="H26" i="1"/>
  <c r="H24" i="1"/>
  <c r="J43" i="7" s="1"/>
  <c r="K43" i="7" s="1"/>
  <c r="K45" i="7" s="1"/>
  <c r="H20" i="1"/>
  <c r="H18" i="1"/>
  <c r="H17" i="1"/>
  <c r="J44" i="8" s="1"/>
  <c r="K44" i="8" s="1"/>
  <c r="H13" i="1"/>
  <c r="D11" i="1"/>
  <c r="E17" i="16" l="1"/>
  <c r="F17" i="16" s="1"/>
  <c r="F20" i="16" s="1"/>
  <c r="P17" i="16" s="1"/>
  <c r="P20" i="16" s="1"/>
  <c r="F21" i="16" s="1"/>
  <c r="L21" i="16" s="1"/>
  <c r="P21" i="16" s="1"/>
  <c r="D28" i="17" s="1"/>
  <c r="E6" i="15"/>
  <c r="F6" i="14"/>
  <c r="E25" i="6"/>
  <c r="E16" i="6"/>
  <c r="F16" i="6" s="1"/>
  <c r="E15" i="7"/>
  <c r="F15" i="7" s="1"/>
  <c r="F44" i="7"/>
  <c r="E14" i="7"/>
  <c r="F14" i="7" s="1"/>
  <c r="E23" i="7"/>
  <c r="F23" i="7" s="1"/>
  <c r="F24" i="7"/>
  <c r="E43" i="7"/>
  <c r="F43" i="7" s="1"/>
  <c r="E24" i="6"/>
  <c r="E15" i="6"/>
  <c r="F15" i="6" s="1"/>
  <c r="H36" i="1"/>
  <c r="H34" i="1"/>
  <c r="H33" i="1"/>
  <c r="H35" i="1"/>
  <c r="E31" i="1"/>
  <c r="E32" i="1" s="1"/>
  <c r="H32" i="1"/>
  <c r="J6" i="9" s="1"/>
  <c r="H31" i="1"/>
  <c r="J7" i="9" l="1"/>
  <c r="K7" i="9" s="1"/>
  <c r="K6" i="9"/>
  <c r="F6" i="15"/>
  <c r="E16" i="15"/>
  <c r="F16" i="15" s="1"/>
  <c r="F7" i="15"/>
  <c r="E17" i="15"/>
  <c r="F17" i="15" s="1"/>
  <c r="F24" i="6"/>
  <c r="E33" i="6"/>
  <c r="F25" i="6"/>
  <c r="F26" i="6" s="1"/>
  <c r="E34" i="6"/>
  <c r="F17" i="6"/>
  <c r="E30" i="14"/>
  <c r="F30" i="14" s="1"/>
  <c r="F32" i="14" s="1"/>
  <c r="F33" i="14" s="1"/>
  <c r="E39" i="14"/>
  <c r="F39" i="14" s="1"/>
  <c r="F42" i="14" s="1"/>
  <c r="F43" i="14" s="1"/>
  <c r="K22" i="12" s="1"/>
  <c r="F16" i="7"/>
  <c r="F17" i="7" s="1"/>
  <c r="L17" i="7" s="1"/>
  <c r="P17" i="7" s="1"/>
  <c r="I34" i="7" s="1"/>
  <c r="F25" i="7"/>
  <c r="F45" i="7"/>
  <c r="F46" i="7" s="1"/>
  <c r="L46" i="7" s="1"/>
  <c r="P46" i="7" s="1"/>
  <c r="D17" i="17" s="1"/>
  <c r="K9" i="9" l="1"/>
  <c r="F10" i="9" s="1"/>
  <c r="L10" i="9" s="1"/>
  <c r="P10" i="9" s="1"/>
  <c r="D26" i="17" s="1"/>
  <c r="F19" i="15"/>
  <c r="P16" i="15" s="1"/>
  <c r="P19" i="15" s="1"/>
  <c r="F9" i="15"/>
  <c r="P6" i="15" s="1"/>
  <c r="P9" i="15" s="1"/>
  <c r="F33" i="6"/>
  <c r="E42" i="6"/>
  <c r="F42" i="6" s="1"/>
  <c r="E43" i="6"/>
  <c r="F43" i="6" s="1"/>
  <c r="F34" i="6"/>
  <c r="K21" i="12"/>
  <c r="K20" i="12"/>
  <c r="F44" i="6" l="1"/>
  <c r="F45" i="6" s="1"/>
  <c r="P45" i="6" s="1"/>
  <c r="D11" i="17" s="1"/>
  <c r="F35" i="6"/>
  <c r="P25" i="7"/>
  <c r="H40" i="1" l="1"/>
  <c r="I18" i="12" l="1"/>
  <c r="J18" i="12" s="1"/>
  <c r="L18" i="12" s="1"/>
  <c r="I22" i="12"/>
  <c r="J22" i="12" s="1"/>
  <c r="L22" i="12" s="1"/>
  <c r="F22" i="1" s="1"/>
  <c r="I19" i="12"/>
  <c r="J19" i="12" s="1"/>
  <c r="L19" i="12" s="1"/>
  <c r="I20" i="12"/>
  <c r="J20" i="12" s="1"/>
  <c r="L20" i="12" s="1"/>
  <c r="I21" i="12"/>
  <c r="J21" i="12" s="1"/>
  <c r="L21" i="12" s="1"/>
  <c r="I24" i="12"/>
  <c r="J24" i="12" s="1"/>
  <c r="L24" i="12" s="1"/>
  <c r="F46" i="1" s="1"/>
  <c r="H46" i="1" s="1"/>
  <c r="J6" i="7" s="1"/>
  <c r="K6" i="7" s="1"/>
  <c r="K7" i="7" s="1"/>
  <c r="F8" i="7" s="1"/>
  <c r="I23" i="12"/>
  <c r="J23" i="12" s="1"/>
  <c r="F21" i="1" l="1"/>
  <c r="H21" i="1" s="1"/>
  <c r="J8" i="15" s="1"/>
  <c r="F16" i="1"/>
  <c r="F14" i="1"/>
  <c r="H14" i="1" s="1"/>
  <c r="F15" i="1"/>
  <c r="L23" i="12"/>
  <c r="F38" i="1"/>
  <c r="L8" i="7"/>
  <c r="P8" i="7" s="1"/>
  <c r="I33" i="7" s="1"/>
  <c r="F27" i="1"/>
  <c r="F29" i="1"/>
  <c r="H29" i="1" s="1"/>
  <c r="J23" i="7" s="1"/>
  <c r="F11" i="1"/>
  <c r="H11" i="1" s="1"/>
  <c r="F12" i="1"/>
  <c r="H12" i="1" s="1"/>
  <c r="K8" i="15" l="1"/>
  <c r="J18" i="15"/>
  <c r="F39" i="1"/>
  <c r="H39" i="1" s="1"/>
  <c r="H38" i="1"/>
  <c r="G53" i="1" s="1"/>
  <c r="J17" i="8"/>
  <c r="J7" i="15"/>
  <c r="J7" i="5"/>
  <c r="J8" i="8"/>
  <c r="K8" i="8" s="1"/>
  <c r="J27" i="15"/>
  <c r="F28" i="1"/>
  <c r="H28" i="1" s="1"/>
  <c r="H27" i="1"/>
  <c r="O25" i="6"/>
  <c r="P25" i="6" s="1"/>
  <c r="K23" i="7"/>
  <c r="K25" i="7" s="1"/>
  <c r="F26" i="7" s="1"/>
  <c r="J6" i="16"/>
  <c r="K6" i="16" s="1"/>
  <c r="K9" i="16" s="1"/>
  <c r="F10" i="16" s="1"/>
  <c r="J6" i="5"/>
  <c r="K18" i="15"/>
  <c r="G61" i="1" l="1"/>
  <c r="H61" i="1" s="1"/>
  <c r="G56" i="1"/>
  <c r="H56" i="1" s="1"/>
  <c r="G57" i="1"/>
  <c r="H57" i="1" s="1"/>
  <c r="G54" i="1"/>
  <c r="H54" i="1" s="1"/>
  <c r="G60" i="1"/>
  <c r="H60" i="1" s="1"/>
  <c r="G62" i="1"/>
  <c r="H62" i="1" s="1"/>
  <c r="O30" i="8" s="1"/>
  <c r="P30" i="8" s="1"/>
  <c r="G58" i="1"/>
  <c r="H58" i="1" s="1"/>
  <c r="H53" i="1"/>
  <c r="G59" i="1"/>
  <c r="H59" i="1" s="1"/>
  <c r="G52" i="1"/>
  <c r="H52" i="1" s="1"/>
  <c r="G55" i="1"/>
  <c r="H55" i="1" s="1"/>
  <c r="O31" i="8" s="1"/>
  <c r="P31" i="8" s="1"/>
  <c r="L26" i="7"/>
  <c r="P26" i="7" s="1"/>
  <c r="I35" i="7" s="1"/>
  <c r="I37" i="7" s="1"/>
  <c r="D16" i="17" s="1"/>
  <c r="J17" i="15"/>
  <c r="K17" i="15" s="1"/>
  <c r="K7" i="15"/>
  <c r="K7" i="5"/>
  <c r="J18" i="5"/>
  <c r="L10" i="16"/>
  <c r="P10" i="16" s="1"/>
  <c r="D27" i="17" s="1"/>
  <c r="J17" i="5"/>
  <c r="K6" i="5"/>
  <c r="K17" i="8"/>
  <c r="J30" i="8"/>
  <c r="K30" i="8" s="1"/>
  <c r="K27" i="15"/>
  <c r="J37" i="15"/>
  <c r="K37" i="15" s="1"/>
  <c r="H22" i="1"/>
  <c r="J28" i="15" s="1"/>
  <c r="K28" i="15" s="1"/>
  <c r="F23" i="1"/>
  <c r="H23" i="1" s="1"/>
  <c r="J38" i="15" s="1"/>
  <c r="K38" i="15" s="1"/>
  <c r="J6" i="8"/>
  <c r="K6" i="8" s="1"/>
  <c r="J19" i="8"/>
  <c r="H15" i="1"/>
  <c r="J43" i="8" s="1"/>
  <c r="K43" i="8" s="1"/>
  <c r="K45" i="8" s="1"/>
  <c r="F46" i="8" s="1"/>
  <c r="J7" i="8"/>
  <c r="K7" i="8" s="1"/>
  <c r="J26" i="15"/>
  <c r="J6" i="15"/>
  <c r="J8" i="5"/>
  <c r="J18" i="8"/>
  <c r="K10" i="8" l="1"/>
  <c r="F11" i="8" s="1"/>
  <c r="P11" i="8" s="1"/>
  <c r="D18" i="17" s="1"/>
  <c r="P36" i="8"/>
  <c r="O24" i="6"/>
  <c r="O15" i="6"/>
  <c r="P15" i="6" s="1"/>
  <c r="P17" i="6" s="1"/>
  <c r="F18" i="6" s="1"/>
  <c r="L18" i="6" s="1"/>
  <c r="P18" i="6" s="1"/>
  <c r="D8" i="17" s="1"/>
  <c r="O6" i="6"/>
  <c r="P6" i="6" s="1"/>
  <c r="P8" i="6" s="1"/>
  <c r="F9" i="6" s="1"/>
  <c r="L9" i="6" s="1"/>
  <c r="P9" i="6" s="1"/>
  <c r="D7" i="17" s="1"/>
  <c r="J16" i="15"/>
  <c r="K16" i="15" s="1"/>
  <c r="K19" i="15" s="1"/>
  <c r="F20" i="15" s="1"/>
  <c r="K6" i="15"/>
  <c r="K9" i="15" s="1"/>
  <c r="F10" i="15" s="1"/>
  <c r="K8" i="5"/>
  <c r="K10" i="5" s="1"/>
  <c r="F11" i="5" s="1"/>
  <c r="J19" i="5"/>
  <c r="J28" i="5"/>
  <c r="K17" i="5"/>
  <c r="K18" i="8"/>
  <c r="J31" i="8"/>
  <c r="K31" i="8" s="1"/>
  <c r="J20" i="8"/>
  <c r="K19" i="8"/>
  <c r="J32" i="8"/>
  <c r="L46" i="8"/>
  <c r="P46" i="8" s="1"/>
  <c r="D21" i="17" s="1"/>
  <c r="K18" i="5"/>
  <c r="J29" i="5"/>
  <c r="K26" i="15"/>
  <c r="K29" i="15" s="1"/>
  <c r="F30" i="15" s="1"/>
  <c r="J36" i="15"/>
  <c r="K36" i="15" s="1"/>
  <c r="K39" i="15" s="1"/>
  <c r="F40" i="15" s="1"/>
  <c r="P24" i="6" l="1"/>
  <c r="P26" i="6" s="1"/>
  <c r="F27" i="6" s="1"/>
  <c r="L27" i="6" s="1"/>
  <c r="P27" i="6" s="1"/>
  <c r="D9" i="17" s="1"/>
  <c r="O33" i="6"/>
  <c r="P33" i="6" s="1"/>
  <c r="P35" i="6" s="1"/>
  <c r="F36" i="6" s="1"/>
  <c r="P11" i="5"/>
  <c r="D12" i="17" s="1"/>
  <c r="K19" i="5"/>
  <c r="K21" i="5" s="1"/>
  <c r="F22" i="5" s="1"/>
  <c r="J30" i="5"/>
  <c r="L20" i="15"/>
  <c r="P20" i="15" s="1"/>
  <c r="D23" i="17" s="1"/>
  <c r="L10" i="15"/>
  <c r="P10" i="15" s="1"/>
  <c r="D22" i="17" s="1"/>
  <c r="J40" i="5"/>
  <c r="K29" i="5"/>
  <c r="J21" i="8"/>
  <c r="K21" i="8" s="1"/>
  <c r="K20" i="8"/>
  <c r="L30" i="15"/>
  <c r="P30" i="15" s="1"/>
  <c r="D24" i="17" s="1"/>
  <c r="L40" i="15"/>
  <c r="P40" i="15" s="1"/>
  <c r="D25" i="17" s="1"/>
  <c r="K32" i="8"/>
  <c r="J33" i="8"/>
  <c r="H16" i="1"/>
  <c r="F19" i="1"/>
  <c r="H19" i="1" s="1"/>
  <c r="J39" i="5"/>
  <c r="K39" i="5" s="1"/>
  <c r="K28" i="5"/>
  <c r="K23" i="8" l="1"/>
  <c r="F24" i="8" s="1"/>
  <c r="L24" i="8" s="1"/>
  <c r="P24" i="8" s="1"/>
  <c r="D19" i="17" s="1"/>
  <c r="L36" i="6"/>
  <c r="P36" i="6" s="1"/>
  <c r="D10" i="17" s="1"/>
  <c r="L22" i="5"/>
  <c r="P22" i="5" s="1"/>
  <c r="D13" i="17" s="1"/>
  <c r="J51" i="5"/>
  <c r="K51" i="5" s="1"/>
  <c r="K40" i="5"/>
  <c r="K33" i="8"/>
  <c r="J34" i="8"/>
  <c r="K34" i="8" s="1"/>
  <c r="K30" i="5"/>
  <c r="K32" i="5" s="1"/>
  <c r="J41" i="5"/>
  <c r="P28" i="5" l="1"/>
  <c r="P32" i="5" s="1"/>
  <c r="F33" i="5" s="1"/>
  <c r="K41" i="5"/>
  <c r="K43" i="5" s="1"/>
  <c r="J52" i="5"/>
  <c r="K52" i="5" s="1"/>
  <c r="K54" i="5" s="1"/>
  <c r="F55" i="5" s="1"/>
  <c r="K36" i="8"/>
  <c r="F37" i="8" s="1"/>
  <c r="P39" i="5" l="1"/>
  <c r="P43" i="5" s="1"/>
  <c r="F44" i="5" s="1"/>
  <c r="L33" i="5"/>
  <c r="P33" i="5" s="1"/>
  <c r="D14" i="17" s="1"/>
  <c r="L55" i="5"/>
  <c r="P55" i="5" s="1"/>
  <c r="D15" i="17" s="1"/>
  <c r="L37" i="8"/>
  <c r="P37" i="8" s="1"/>
  <c r="D20" i="17" s="1"/>
  <c r="L44" i="5" l="1"/>
  <c r="P44" i="5" s="1"/>
</calcChain>
</file>

<file path=xl/sharedStrings.xml><?xml version="1.0" encoding="utf-8"?>
<sst xmlns="http://schemas.openxmlformats.org/spreadsheetml/2006/main" count="1737" uniqueCount="477">
  <si>
    <t>S.No.</t>
  </si>
  <si>
    <t>Descripton</t>
  </si>
  <si>
    <t>Unit</t>
  </si>
  <si>
    <t>Cost (NRs)</t>
  </si>
  <si>
    <t>Market/Source</t>
  </si>
  <si>
    <t>Transportation and loading unloading</t>
  </si>
  <si>
    <t>Royalty</t>
  </si>
  <si>
    <t>Total Amount</t>
  </si>
  <si>
    <t>Remarks</t>
  </si>
  <si>
    <t>A</t>
  </si>
  <si>
    <t>Materials</t>
  </si>
  <si>
    <t>Cement</t>
  </si>
  <si>
    <t>a</t>
  </si>
  <si>
    <t>Nepali PPC</t>
  </si>
  <si>
    <t>Dang</t>
  </si>
  <si>
    <t>b</t>
  </si>
  <si>
    <t>Nepali OPC</t>
  </si>
  <si>
    <t>c</t>
  </si>
  <si>
    <t xml:space="preserve">Reinforcement </t>
  </si>
  <si>
    <t>10 to 20 mm dia</t>
  </si>
  <si>
    <t>e</t>
  </si>
  <si>
    <t>Binding wire</t>
  </si>
  <si>
    <t xml:space="preserve">G.I. Wire </t>
  </si>
  <si>
    <t>Heavy coated</t>
  </si>
  <si>
    <t>Hume Pipes(NP3)</t>
  </si>
  <si>
    <t>300 mm dia</t>
  </si>
  <si>
    <t>600 mm dia</t>
  </si>
  <si>
    <t>900 mm dia</t>
  </si>
  <si>
    <t>no</t>
  </si>
  <si>
    <t xml:space="preserve">Geotextile </t>
  </si>
  <si>
    <t>sqm</t>
  </si>
  <si>
    <t>Sand</t>
  </si>
  <si>
    <t>Local</t>
  </si>
  <si>
    <t>Rukum East</t>
  </si>
  <si>
    <t>River bed/Quarry site Gravel</t>
  </si>
  <si>
    <t xml:space="preserve">Stone </t>
  </si>
  <si>
    <t>Wood for formwork (Saal)</t>
  </si>
  <si>
    <t>Wood for formwork (Sisau)</t>
  </si>
  <si>
    <t>Wood for formwork (Kukath eg.tuni,Salla)</t>
  </si>
  <si>
    <t>kg</t>
  </si>
  <si>
    <t xml:space="preserve">Bamboo (7 m height) </t>
  </si>
  <si>
    <t>Teak Ply 6 mm</t>
  </si>
  <si>
    <t>m²</t>
  </si>
  <si>
    <t>Teak Ply 12 mm</t>
  </si>
  <si>
    <t xml:space="preserve">खरको डोरी </t>
  </si>
  <si>
    <t>diesel</t>
  </si>
  <si>
    <t>lit</t>
  </si>
  <si>
    <t>NOC</t>
  </si>
  <si>
    <t>Petrol</t>
  </si>
  <si>
    <t>"</t>
  </si>
  <si>
    <t>kerosene</t>
  </si>
  <si>
    <t>R.m.</t>
  </si>
  <si>
    <t>G.I. Pipe 2" dia, MC</t>
  </si>
  <si>
    <t>Rupandehi, DDC</t>
  </si>
  <si>
    <t>Clamp</t>
  </si>
  <si>
    <t>Nails</t>
  </si>
  <si>
    <t>Nut &amp; Bolts with washer</t>
  </si>
  <si>
    <t>m2</t>
  </si>
  <si>
    <t xml:space="preserve">Machine made Gabion Boxes (Ns 163/169 Heavy zinc coated  G.I. mesh wire 3mm, selvedge wire 3.9mm, laching wire 2.4mm, double twisted hexagonal mesh size 100*120mm )  </t>
  </si>
  <si>
    <t xml:space="preserve">Pyuthan </t>
  </si>
  <si>
    <t>B</t>
  </si>
  <si>
    <t>Manpower</t>
  </si>
  <si>
    <t>Labour skilled</t>
  </si>
  <si>
    <t>md</t>
  </si>
  <si>
    <t>Labour unskilled</t>
  </si>
  <si>
    <t>C</t>
  </si>
  <si>
    <t>Tools &amp; Equipments</t>
  </si>
  <si>
    <t>Equipment</t>
  </si>
  <si>
    <t>Fuel</t>
  </si>
  <si>
    <t>Total</t>
  </si>
  <si>
    <t>hr</t>
  </si>
  <si>
    <t>DoR</t>
  </si>
  <si>
    <t>Dozer Wheel (CAT 814; 181-230 HP)</t>
  </si>
  <si>
    <t>Excavator Track; 111-150HP</t>
  </si>
  <si>
    <t>Excavator+Breaker; 111-150HP</t>
  </si>
  <si>
    <t>Generator</t>
  </si>
  <si>
    <t xml:space="preserve">Loader Wheel </t>
  </si>
  <si>
    <t>Back Hoe Loader; JCB 3CX-4</t>
  </si>
  <si>
    <t>Truck Flatbed 5.5 cum</t>
  </si>
  <si>
    <t xml:space="preserve"> Tipper 5 cum</t>
  </si>
  <si>
    <t>Tractor</t>
  </si>
  <si>
    <t>Concrete Mixer 0.4 cum</t>
  </si>
  <si>
    <t>Rm</t>
  </si>
  <si>
    <t>MT</t>
  </si>
  <si>
    <t>S.N.</t>
  </si>
  <si>
    <t xml:space="preserve">Unit </t>
  </si>
  <si>
    <t>Amount</t>
  </si>
  <si>
    <t xml:space="preserve">Skilled </t>
  </si>
  <si>
    <t>Unskilled</t>
  </si>
  <si>
    <t xml:space="preserve">Hydraulic Excavator </t>
  </si>
  <si>
    <t xml:space="preserve">day </t>
  </si>
  <si>
    <t xml:space="preserve">hour </t>
  </si>
  <si>
    <t>cum</t>
  </si>
  <si>
    <t xml:space="preserve">cum </t>
  </si>
  <si>
    <t xml:space="preserve">SECTION 9000 - EARTH WORKS </t>
  </si>
  <si>
    <t xml:space="preserve">Hydraulic Excavator with rock breaker attachment </t>
  </si>
  <si>
    <t>Decription of Works</t>
  </si>
  <si>
    <t>SP. Cl. No. 905</t>
  </si>
  <si>
    <t xml:space="preserve">Norms No. </t>
  </si>
  <si>
    <t>Labour (A)</t>
  </si>
  <si>
    <t>Material (B)</t>
  </si>
  <si>
    <t>Equipment (C)</t>
  </si>
  <si>
    <t>Type</t>
  </si>
  <si>
    <t>Qty.</t>
  </si>
  <si>
    <t>Rate</t>
  </si>
  <si>
    <t xml:space="preserve">Sub total of A </t>
  </si>
  <si>
    <t xml:space="preserve">Sub total of A +B + C </t>
  </si>
  <si>
    <t xml:space="preserve">Sub total of B </t>
  </si>
  <si>
    <t xml:space="preserve">Contractor's overhead expenses 15% </t>
  </si>
  <si>
    <t xml:space="preserve">Sub total of C </t>
  </si>
  <si>
    <t>Unit Rate</t>
  </si>
  <si>
    <t>9.1 B (II)</t>
  </si>
  <si>
    <t>9.1 B (I)</t>
  </si>
  <si>
    <t xml:space="preserve"> Roadway excavation in all types of soil as per Drawing and technical specifications including removal of stumps and other deleterious matter, all lifts and lead as per Drawing and instruction of the Engineer.  (Mechanical Means)</t>
  </si>
  <si>
    <t>Roadway excavation in ordinary rock as per Drawing and technical specifications including removal of stumps and other deleterious matter, all lifts and lead as per Drawing and instruction of the Engineer. (Mechanical Means)</t>
  </si>
  <si>
    <t>Roadway Excavation in hard rock   with rock breakers,   including breaking rock,   lifts and lead  for disposal as per Drawing and Technical Specifications (Mechanical Methods, Blasting Prohibited)</t>
  </si>
  <si>
    <t xml:space="preserve">Credit for excavated rock for use @ 50% of excavated (if avilable rock is used) </t>
  </si>
  <si>
    <t xml:space="preserve">SECTION 2600 MASONRY FOR STRUCTURES </t>
  </si>
  <si>
    <t>SP. Cl. No. 2602,2603,2607</t>
  </si>
  <si>
    <t xml:space="preserve">Providing and laying of Stone Masonry Work in Cement Mortar 1:4 in Foundation complete as per Drawing and Technical Specifications </t>
  </si>
  <si>
    <t>26.3 B</t>
  </si>
  <si>
    <t xml:space="preserve">Cement </t>
  </si>
  <si>
    <t xml:space="preserve">Sand </t>
  </si>
  <si>
    <t>Concrete mixer or other tools 5% of Labour Cost</t>
  </si>
  <si>
    <t>Tonne</t>
  </si>
  <si>
    <t>Cost of Water</t>
  </si>
  <si>
    <t>KL</t>
  </si>
  <si>
    <t>26.3 C</t>
  </si>
  <si>
    <t xml:space="preserve">Providing and laying of Stone Masonry Work in Cement Mortar 1:6 in Foundation complete as per Drawing and Technical Specifications </t>
  </si>
  <si>
    <t>SP. Cl. No. 2600</t>
  </si>
  <si>
    <t>26.5 A</t>
  </si>
  <si>
    <t>SP. Cl. No. 2600, 2607</t>
  </si>
  <si>
    <r>
      <t xml:space="preserve">Providing and laying of Stone Masonry Work in Cement Mortar 1:4 in structure complete as per Drawing and Technical Specifications (Random Rubble Masonry) </t>
    </r>
    <r>
      <rPr>
        <i/>
        <sz val="10.5"/>
        <color theme="1"/>
        <rFont val="Arial Narrow"/>
        <family val="2"/>
      </rPr>
      <t>(coursed / uncoursed)</t>
    </r>
  </si>
  <si>
    <t>Add 5% of cost of labour and material for scaffolding</t>
  </si>
  <si>
    <r>
      <t xml:space="preserve">Providing and laying of Stone Masonry Work in Cement Mortar 1:6 in structure complete as per Drawing and Technical Specifications (Random Rubble Masonry) </t>
    </r>
    <r>
      <rPr>
        <i/>
        <sz val="10.5"/>
        <color theme="1"/>
        <rFont val="Arial Narrow"/>
        <family val="2"/>
      </rPr>
      <t>(coursed / uncoursed)</t>
    </r>
  </si>
  <si>
    <t>26.6 A</t>
  </si>
  <si>
    <t>26.7 A</t>
  </si>
  <si>
    <t>Providing and Pointing with cement mortar on masonry work in structure as per Technical Specifications (cement mortar 1:3)</t>
  </si>
  <si>
    <t>SECTION 2400 RIVER TRAINING &amp; PROTECTION WORKS</t>
  </si>
  <si>
    <t>SP. Cl. No. 2402</t>
  </si>
  <si>
    <t>24.2 A</t>
  </si>
  <si>
    <t xml:space="preserve">Gabion </t>
  </si>
  <si>
    <r>
      <t xml:space="preserve">Providing mechanically woven double twisted crates / mattress including rolling, cutting and with lacing wire and binding wire as per specification  ( Heavy zinc coated Hexagonal mesh type 100 </t>
    </r>
    <r>
      <rPr>
        <b/>
        <sz val="10.5"/>
        <color theme="1"/>
        <rFont val="Calibri"/>
        <family val="2"/>
      </rPr>
      <t>×</t>
    </r>
    <r>
      <rPr>
        <b/>
        <i/>
        <sz val="10.5"/>
        <color theme="1"/>
        <rFont val="Arial Narrow"/>
        <family val="2"/>
      </rPr>
      <t xml:space="preserve"> 120 mm, mesh wire 3 mm, selvage wire 3.9 mm, lacing wire 2.4 mm ) </t>
    </r>
  </si>
  <si>
    <t xml:space="preserve">Assembling mechanical woven Gabion boxes / mattresses placing in position including stretching, forming compartments, tying the sides and diaphragms with binding wire in each mesh, tying with bracing wires and tie wires; and tying down the lid complete as per specification (stone filling not included) </t>
  </si>
  <si>
    <t xml:space="preserve">Providing and filling stone/boulders in gabion boxes/mattress etc. including dressing, bedding, bonding, all complete as per Drawing and Technical Specifications </t>
  </si>
  <si>
    <t xml:space="preserve">Providing, assembling and filling stone/boulders in gabion boxes/mattress etc. including dressing, bedding, bonding, all complete as per Drawing and Technical Specifications ( Heavy zinc coated Hexagonal mesh type 100 × 120 mm, mesh wire 3 mm, selvage wire 3.9 mm, lacing wire 2.4 mm ) </t>
  </si>
  <si>
    <t xml:space="preserve">Gabion Size </t>
  </si>
  <si>
    <t>1.5*1*1</t>
  </si>
  <si>
    <t>Area (sqm)</t>
  </si>
  <si>
    <t>2*1*1</t>
  </si>
  <si>
    <t>3*1*1</t>
  </si>
  <si>
    <t xml:space="preserve">Cost for purchasing </t>
  </si>
  <si>
    <t xml:space="preserve">Cost for assembling </t>
  </si>
  <si>
    <t xml:space="preserve">Cost for filling </t>
  </si>
  <si>
    <t xml:space="preserve">1 sqm </t>
  </si>
  <si>
    <t xml:space="preserve">1 cum </t>
  </si>
  <si>
    <t xml:space="preserve">Combined Rate </t>
  </si>
  <si>
    <t xml:space="preserve">Factor </t>
  </si>
  <si>
    <t>SP. Cl. No. 2404</t>
  </si>
  <si>
    <t xml:space="preserve">Providing and fixing of Geo-textile  all complete as per Drawing and Technical Specifications </t>
  </si>
  <si>
    <t>SP. Cl. No. 2000</t>
  </si>
  <si>
    <t xml:space="preserve">Providing and laying of Plain Cement Concrete M10 (or 1:3:6 for nominal mix) in Foundation complete as per Drawing and Technical Specifications </t>
  </si>
  <si>
    <t xml:space="preserve">40 mm aggregate </t>
  </si>
  <si>
    <t>Coarse Sand</t>
  </si>
  <si>
    <t>Manual Mixing of concrete  (50% of labour cost)</t>
  </si>
  <si>
    <t xml:space="preserve">Providing and laying of Plain Cement Concrete M15  in Foundation complete as per Drawing and Technical Specifications </t>
  </si>
  <si>
    <t xml:space="preserve">Coarse Sand </t>
  </si>
  <si>
    <t xml:space="preserve">40 mm Aggregate </t>
  </si>
  <si>
    <t>20 mm aggregate</t>
  </si>
  <si>
    <t xml:space="preserve">10 mm aggregate </t>
  </si>
  <si>
    <t xml:space="preserve">Providing and laying of Plain Cement Concrete M20  in Foundation complete as per Drawing and Technical Specifications </t>
  </si>
  <si>
    <t>20.2 B</t>
  </si>
  <si>
    <t>20.2 A</t>
  </si>
  <si>
    <t>Concrete Mixer</t>
  </si>
  <si>
    <t>hour</t>
  </si>
  <si>
    <t>SP. Cl. No. 2014</t>
  </si>
  <si>
    <t xml:space="preserve">Providing and laying, fitting and placing un-coated Mild Steel / HYSD reinforcement complete in foundation as per drawing and Technical Specifications </t>
  </si>
  <si>
    <t>MS Bars</t>
  </si>
  <si>
    <t>Binding Wires</t>
  </si>
  <si>
    <t xml:space="preserve">kg </t>
  </si>
  <si>
    <t xml:space="preserve">SECTION 2600 FALSEWORK, FORMWORK </t>
  </si>
  <si>
    <t>SP. Cl. No. 1804, 1805</t>
  </si>
  <si>
    <t>Planks 38 mm thick</t>
  </si>
  <si>
    <t>strtuts, ballies etc</t>
  </si>
  <si>
    <t>Nails, spikes etc</t>
  </si>
  <si>
    <t>Remarks:</t>
  </si>
  <si>
    <t>Planks 38 mm thick 8 times usage</t>
  </si>
  <si>
    <t>Struts, ballies etc 12 times usage</t>
  </si>
  <si>
    <t>Providing Preparing and Installing form work including necessary supports and removing after completion for foundations and footings (Class F1 Finish, Using timber) (Soft Wood)</t>
  </si>
  <si>
    <t>Without Load</t>
  </si>
  <si>
    <t>With Load</t>
  </si>
  <si>
    <t>km</t>
  </si>
  <si>
    <t>Loader</t>
  </si>
  <si>
    <t>Truck</t>
  </si>
  <si>
    <t>Skilled</t>
  </si>
  <si>
    <t xml:space="preserve">RCC Hume Pipe </t>
  </si>
  <si>
    <t>ER</t>
  </si>
  <si>
    <t>GR</t>
  </si>
  <si>
    <t>BT</t>
  </si>
  <si>
    <t>day</t>
  </si>
  <si>
    <t>tonnes</t>
  </si>
  <si>
    <t xml:space="preserve">Rate of Labour </t>
  </si>
  <si>
    <t xml:space="preserve">unit </t>
  </si>
  <si>
    <t xml:space="preserve">Material Type </t>
  </si>
  <si>
    <t>mt</t>
  </si>
  <si>
    <t>m</t>
  </si>
  <si>
    <t xml:space="preserve">Speed of the vehicle </t>
  </si>
  <si>
    <t xml:space="preserve">Rate of Equipments </t>
  </si>
  <si>
    <t xml:space="preserve">Equipment </t>
  </si>
  <si>
    <t xml:space="preserve">Rate </t>
  </si>
  <si>
    <t>Unit = t.km (for 8 tonnes load and lead 10km = 80 t.km)</t>
  </si>
  <si>
    <t xml:space="preserve">Capacity of the truck for analysis </t>
  </si>
  <si>
    <t xml:space="preserve">ton </t>
  </si>
  <si>
    <t>Distance Taken</t>
  </si>
  <si>
    <t>Unit Weight of the material  (t/m3)</t>
  </si>
  <si>
    <t xml:space="preserve">Time Taken for transportation (hr) </t>
  </si>
  <si>
    <t>tipper</t>
  </si>
  <si>
    <t>Time Taken</t>
  </si>
  <si>
    <t>for onward haulage (hr)</t>
  </si>
  <si>
    <t>for empty return trip (hr)</t>
  </si>
  <si>
    <t>total time (hr)</t>
  </si>
  <si>
    <t xml:space="preserve">Unit Rate per ton </t>
  </si>
  <si>
    <t>Stone</t>
  </si>
  <si>
    <t xml:space="preserve">Transportation </t>
  </si>
  <si>
    <t>Loading and Unloading</t>
  </si>
  <si>
    <t xml:space="preserve">Equipment / Labour </t>
  </si>
  <si>
    <t xml:space="preserve">Quantity </t>
  </si>
  <si>
    <t xml:space="preserve">Tipper </t>
  </si>
  <si>
    <t xml:space="preserve">Rate of Equipment </t>
  </si>
  <si>
    <t xml:space="preserve">Unit Rate </t>
  </si>
  <si>
    <t>Material</t>
  </si>
  <si>
    <t xml:space="preserve">Sum </t>
  </si>
  <si>
    <t xml:space="preserve">Rate per cum </t>
  </si>
  <si>
    <t>Total (transportation  + Loading / Unloading)</t>
  </si>
  <si>
    <t xml:space="preserve">hr </t>
  </si>
  <si>
    <t xml:space="preserve">tonnes </t>
  </si>
  <si>
    <t>Unskilled Labour</t>
  </si>
  <si>
    <t xml:space="preserve">For </t>
  </si>
  <si>
    <t xml:space="preserve">Total  Amount </t>
  </si>
  <si>
    <t xml:space="preserve">Unskilled Labour </t>
  </si>
  <si>
    <t xml:space="preserve">Steel </t>
  </si>
  <si>
    <t>Cement / Steel</t>
  </si>
  <si>
    <t xml:space="preserve">Wt. of a 2.5 m, 900 mm dia hume pipe is 1.7 ton </t>
  </si>
  <si>
    <t xml:space="preserve">Hume Pipe </t>
  </si>
  <si>
    <t xml:space="preserve">Skilled labour </t>
  </si>
  <si>
    <t>Crane (3T)</t>
  </si>
  <si>
    <t>Crane (3 T)</t>
  </si>
  <si>
    <t>Diesel / Petrol</t>
  </si>
  <si>
    <t>ltr</t>
  </si>
  <si>
    <t xml:space="preserve">Sand / aggregate </t>
  </si>
  <si>
    <t xml:space="preserve">GI Wire </t>
  </si>
  <si>
    <t xml:space="preserve">m2 </t>
  </si>
  <si>
    <t>GI wire = 2kg/m2</t>
  </si>
  <si>
    <t>Unit Rate per unit</t>
  </si>
  <si>
    <t xml:space="preserve">Unit Rate per unit </t>
  </si>
  <si>
    <r>
      <t>m</t>
    </r>
    <r>
      <rPr>
        <vertAlign val="superscript"/>
        <sz val="10.5"/>
        <rFont val="Arial Narrow"/>
        <family val="2"/>
      </rPr>
      <t>3</t>
    </r>
  </si>
  <si>
    <r>
      <t>HDPE Pipe (NS-40) 2" dia. (2.5 kg/cm</t>
    </r>
    <r>
      <rPr>
        <vertAlign val="superscript"/>
        <sz val="10.5"/>
        <rFont val="Arial Narrow"/>
        <family val="2"/>
      </rPr>
      <t>2</t>
    </r>
    <r>
      <rPr>
        <sz val="10.5"/>
        <rFont val="Arial Narrow"/>
        <family val="2"/>
      </rPr>
      <t>)</t>
    </r>
  </si>
  <si>
    <t>Departmental Fuel (L/hr)</t>
  </si>
  <si>
    <t>Generator 125 kVA</t>
  </si>
  <si>
    <t>SP. Cl. No. 907</t>
  </si>
  <si>
    <t>Earthwork in excavation of foundation of structures, including construction of shoring and bracing, removal of stumps and other deleterious matter and backfilling with approved Material as per drawing and Technical Specifications. (Mechanical Means) (Depth upto 3m)</t>
  </si>
  <si>
    <t>Earthwork in excavation of foundation of structures, including construction of shoring and bracing, removal of stumps and other deleterious matter and backfilling with approved Material as per drawing and Technical Specifications. (Manual Means) (Depth upto 3m) Ordinary Soil</t>
  </si>
  <si>
    <t>9.1 A(I)</t>
  </si>
  <si>
    <t>SECTION 700 - PIPE DRAINS, PIPE CULVERTS AND CONCRETE</t>
  </si>
  <si>
    <t>SP. Cl. No. 701</t>
  </si>
  <si>
    <t>7.2 ('C)</t>
  </si>
  <si>
    <t>RCC Pipes</t>
  </si>
  <si>
    <t>Provinding and Laying Reinforced Cement Concrete NP3 Flush Jointed pipe for culverts including fixing with cement mortar 1:2 as per Drawing and Technical Specifications. (600 mm internal dia)</t>
  </si>
  <si>
    <t>Add 3% of Labour cost for bellies, crow bars, chain puley and other T &amp; P.</t>
  </si>
  <si>
    <t>Provinding and Laying Reinforced Cement Concrete NP3 Flush Jointed pipe for culverts including fixing with cement mortar 1:2 as per Drawing and Technical Specifications. (900 mm internal dia)</t>
  </si>
  <si>
    <t>7.2 (D)</t>
  </si>
  <si>
    <t>7.2 (A)</t>
  </si>
  <si>
    <t>7.2 (B)</t>
  </si>
  <si>
    <t>Provinding and Laying Reinforced Cement Concrete NP3 Flush Jointed pipe for culverts including fixing with cement mortar 1:2 as per Drawing and Technical Specifications. (300 mm internal dia)</t>
  </si>
  <si>
    <t>Provinding and Laying Reinforced Cement Concrete NP3 Flush Jointed pipe for culverts including fixing with cement mortar 1:2 as per Drawing and Technical Specifications. (450 mm internal dia)</t>
  </si>
  <si>
    <t>Providing and Laying of hand pack Stone Soling with 150 to 200 mm thick stones and packing with smaller stones on prepared surface as per Drawing and Technical Specifications.</t>
  </si>
  <si>
    <t>Collection of Gravel</t>
  </si>
  <si>
    <t>Collection and seiving of Gravel including stacking within 10 m Haulage distance (5-70mm)</t>
  </si>
  <si>
    <t>8.1A</t>
  </si>
  <si>
    <t>Add 3% of labour cost for T &amp; P.</t>
  </si>
  <si>
    <t xml:space="preserve">Description </t>
  </si>
  <si>
    <t>Roadway Excavation in hard rock   with rock breakers,   including breaking rock,   lifts and lead  for disposal as per Drawing and Technical Specifications (Mechanical Methods, Blasting Prohibited) (905)</t>
  </si>
  <si>
    <t>Roadway excavation in ordinary rock as per Drawing and technical specifications including removal of stumps and other deleterious matter, all lifts and lead as per Drawing and instruction of the Engineer. (Mechanical Means) (905)</t>
  </si>
  <si>
    <t>Roadway excavation in all types of soil as per Drawing and technical specifications including removal of stumps and other deleterious matter, all lifts and lead as per Drawing and instruction of the Engineer.  (Mechanical Means) (905)</t>
  </si>
  <si>
    <t>Providing and laying of Stone Masonry Work in Cement Mortar 1:4 in Foundation complete as per Drawing and Technical Specifications (2602,2603,2607)</t>
  </si>
  <si>
    <t>Providing and laying of Stone Masonry Work in Cement Mortar 1:6 in Foundation complete as per Drawing and Technical Specifications (2602,2603,2607)</t>
  </si>
  <si>
    <t>Providing and laying of Stone Masonry Work in Cement Mortar 1:4 in structure including 4" HDPE pipe for weep holes complete as per Drawing and Technical Specifications (Random Rubble Masonry) (2600,2607)</t>
  </si>
  <si>
    <t>Providing and Pointing with cement mortar on masonry work in structure as per Technical Specifications (cement mortar 1:3) (2600)</t>
  </si>
  <si>
    <t>Supplying of heavy zinc coated machine made gabion boxes,hexagonal mesh size100x120 mm, mattress/boxes with diapharms with lacing wire 2.4mm, mesh wire 3mm and slavage wire 3.9mm asembling gabion boxes mattress  placing in position including streching forming compartment tying with bracing wire and tie wire tying down the lid complete and providing and filling stone/boulder in gabion boxes mattress etc. including dressing bedding, bonding, transportation all complete as per specification.(2402)</t>
  </si>
  <si>
    <t>Providing and laying of Plain Cement Concrete M10 (or 1:3:6 for nominal mix) in Foundation complete as per Drawing and Technical Specifications (2000)</t>
  </si>
  <si>
    <t>Providing and laying of Plain Cement Concrete M15  in Foundation complete as per Drawing and Technical Specifications (2000)</t>
  </si>
  <si>
    <t>Providing and laying of Plain Cement Concrete M20  in Foundation complete as per Drawing and Technical Specifications (2000)</t>
  </si>
  <si>
    <t>Providing and laying, fitting and placing un-coated Mild Steel / HYSD reinforcement complete in foundation as per drawing and Technical Specifications (2014)</t>
  </si>
  <si>
    <t>Provinding and Laying Reinforced Cement Concrete NP3 Flush Jointed pipe for culverts including fixing with cement mortar 1:2 as per Drawing and Technical Specifications. (300 mm internal dia) (701)</t>
  </si>
  <si>
    <t>Provinding and Laying Reinforced Cement Concrete NP3 Flush Jointed pipe for culverts including fixing with cement mortar 1:2 as per Drawing and Technical Specifications. (450 mm internal dia) (701)</t>
  </si>
  <si>
    <t>Provinding and Laying Reinforced Cement Concrete NP3 Flush Jointed pipe for culverts including fixing with cement mortar 1:2 as per Drawing and Technical Specifications. (600 mm internal dia) (701)</t>
  </si>
  <si>
    <t>Provinding and Laying Reinforced Cement Concrete NP3 Flush Jointed pipe for culverts including fixing with cement mortar 1:2 as per Drawing and Technical Specifications. (900 mm internal dia) (701)</t>
  </si>
  <si>
    <t>Providing Preparing and Installing form work including necessary supports and removing after completion for foundations and footings (Class F1 Finish, Using timber) (Soft Wood) (1804,1805)</t>
  </si>
  <si>
    <t>Providing and Laying of hand pack Stone Soling with 150 to 200 mm thick stones and packing with smaller stones on prepared surface as per Drawing and Technical Specifications. (1006)</t>
  </si>
  <si>
    <t xml:space="preserve">Supply and place naturally found / or quarry sieved gravel material including  levelling all complete. </t>
  </si>
  <si>
    <t>Earthwork in excavation of foundation of structures in all types of soil and rock, including construction of shoring and bracing, removal of stumps and other deleterious matter and backfilling with approved Material as per drawing and Technical Specifications. (Mechanical Means) (907)</t>
  </si>
  <si>
    <t>Earthwork in excavation of foundation of structures in all types of soil and rock, including construction of shoring and bracing, removal of stumps and other deleterious matter and backfilling with approved Material as per drawing and Technical Specifications. (Manual Means) (907)</t>
  </si>
  <si>
    <t xml:space="preserve">Analysis of Rate for collection </t>
  </si>
  <si>
    <t xml:space="preserve">Description of works: </t>
  </si>
  <si>
    <t>Collection, quarrying and sieving sand in local river - Section 800 (8.3) - D</t>
  </si>
  <si>
    <t xml:space="preserve">Unit: </t>
  </si>
  <si>
    <r>
      <t>1 m</t>
    </r>
    <r>
      <rPr>
        <vertAlign val="superscript"/>
        <sz val="10"/>
        <rFont val="Times New Roman"/>
        <family val="1"/>
      </rPr>
      <t>3</t>
    </r>
  </si>
  <si>
    <t>Norms No.</t>
  </si>
  <si>
    <t>8.01.02.a)</t>
  </si>
  <si>
    <t>querry output more than 66%</t>
  </si>
  <si>
    <t>Add 3 % of Labour cost for Tools and Plants</t>
  </si>
  <si>
    <t xml:space="preserve">Total of Labour + Materials + Equipments = </t>
  </si>
  <si>
    <t>Collection and sieving gravel including stacking within 10 m. Hauling distance (5-70mm) - Section 800 (8.1) - A</t>
  </si>
  <si>
    <t>Collection of rubble of required size, hauling distance 10 m. and stacking. Section 800 (8.2)</t>
  </si>
  <si>
    <t>8.01.03</t>
  </si>
  <si>
    <t>Rukum East (collection)</t>
  </si>
  <si>
    <t>stones</t>
  </si>
  <si>
    <t>DoLI Norms</t>
  </si>
  <si>
    <t>1) Labour</t>
  </si>
  <si>
    <t>4) Material</t>
  </si>
  <si>
    <t>Description</t>
  </si>
  <si>
    <t>District Rate</t>
  </si>
  <si>
    <t>Unit district rate</t>
  </si>
  <si>
    <t>Remark</t>
  </si>
  <si>
    <r>
      <t>m</t>
    </r>
    <r>
      <rPr>
        <vertAlign val="superscript"/>
        <sz val="10"/>
        <rFont val="Times New Roman"/>
        <family val="1"/>
      </rPr>
      <t>3</t>
    </r>
  </si>
  <si>
    <t>Semiskilled</t>
  </si>
  <si>
    <t>Rubble (stone)</t>
  </si>
  <si>
    <t>Unskilled (Labour)</t>
  </si>
  <si>
    <t>mt.</t>
  </si>
  <si>
    <t>Operator</t>
  </si>
  <si>
    <t>Water</t>
  </si>
  <si>
    <t>lit.</t>
  </si>
  <si>
    <t>Engineer</t>
  </si>
  <si>
    <t>Crushed Aggregate</t>
  </si>
  <si>
    <t>Technician</t>
  </si>
  <si>
    <t>5.a</t>
  </si>
  <si>
    <t>10 mm ( Small)</t>
  </si>
  <si>
    <t>5.b</t>
  </si>
  <si>
    <t>20 mm ( Intermediate)</t>
  </si>
  <si>
    <t>2) Fuel and Lubricant</t>
  </si>
  <si>
    <t>5.c</t>
  </si>
  <si>
    <t>40 mm (Large)</t>
  </si>
  <si>
    <t>Diesel</t>
  </si>
  <si>
    <t>RCC Hume Pipes</t>
  </si>
  <si>
    <t>6.a</t>
  </si>
  <si>
    <t>300 mm diameter</t>
  </si>
  <si>
    <t>rm</t>
  </si>
  <si>
    <t>Date</t>
  </si>
  <si>
    <t>6.b</t>
  </si>
  <si>
    <t>600 mm diameter</t>
  </si>
  <si>
    <t>6.c</t>
  </si>
  <si>
    <t>900 mm diameter</t>
  </si>
  <si>
    <t>3) Equipment</t>
  </si>
  <si>
    <t>Reinforcement</t>
  </si>
  <si>
    <t>Ownershipe rate</t>
  </si>
  <si>
    <t>7.a</t>
  </si>
  <si>
    <t>7.b</t>
  </si>
  <si>
    <t>Truck ( 3 tonnes)</t>
  </si>
  <si>
    <t>hr.</t>
  </si>
  <si>
    <t>Binding Wire</t>
  </si>
  <si>
    <t>Truck ( 5 tonnes)</t>
  </si>
  <si>
    <t>8.a</t>
  </si>
  <si>
    <t>Binding wire Black</t>
  </si>
  <si>
    <t>Truck ( 8 tonnes)</t>
  </si>
  <si>
    <t>8.b</t>
  </si>
  <si>
    <t>Binding wire White</t>
  </si>
  <si>
    <t xml:space="preserve">Motor Grader </t>
  </si>
  <si>
    <t>G.I Wire heavy coated</t>
  </si>
  <si>
    <t>Pump 10cm dia</t>
  </si>
  <si>
    <t>9.a</t>
  </si>
  <si>
    <t>8 gauge</t>
  </si>
  <si>
    <t>Vibrator Roller</t>
  </si>
  <si>
    <t>9.b</t>
  </si>
  <si>
    <t xml:space="preserve">10 gauge </t>
  </si>
  <si>
    <t xml:space="preserve">Roller </t>
  </si>
  <si>
    <t>9.c</t>
  </si>
  <si>
    <t>12 gauge</t>
  </si>
  <si>
    <t>Water bowser</t>
  </si>
  <si>
    <t>Geo - Textile</t>
  </si>
  <si>
    <t>Sqm</t>
  </si>
  <si>
    <t>11.i</t>
  </si>
  <si>
    <t>GI Pipe 50 mm medium class</t>
  </si>
  <si>
    <t xml:space="preserve">Boiler </t>
  </si>
  <si>
    <t>11.ii</t>
  </si>
  <si>
    <t>GI Pipe 80mm medium class</t>
  </si>
  <si>
    <t>Sprayer</t>
  </si>
  <si>
    <t>GI Pipe 100mm medium class</t>
  </si>
  <si>
    <t>Air compresser</t>
  </si>
  <si>
    <t>MS steel</t>
  </si>
  <si>
    <t xml:space="preserve"> Hand Sprayer</t>
  </si>
  <si>
    <t>Enamel</t>
  </si>
  <si>
    <t>Aggregate Spreader</t>
  </si>
  <si>
    <t>Jute</t>
  </si>
  <si>
    <t>Pneumatic Tyred Roller</t>
  </si>
  <si>
    <t>16.i</t>
  </si>
  <si>
    <t>Plywood 12 mm thick</t>
  </si>
  <si>
    <t>mixer</t>
  </si>
  <si>
    <t>16.ii</t>
  </si>
  <si>
    <t>Plywood 19 mm thick</t>
  </si>
  <si>
    <t>Vibrator</t>
  </si>
  <si>
    <t xml:space="preserve">Nuts &amp; bolts </t>
  </si>
  <si>
    <t>bentonite</t>
  </si>
  <si>
    <t>Bitumen Distributor</t>
  </si>
  <si>
    <t>Planks 38 mm thick.</t>
  </si>
  <si>
    <t>Chip Spreader</t>
  </si>
  <si>
    <t xml:space="preserve">struts, ballies, etc. </t>
  </si>
  <si>
    <t xml:space="preserve">Nails,spikes,etc. </t>
  </si>
  <si>
    <t>20t crane</t>
  </si>
  <si>
    <t>Graded filter material</t>
  </si>
  <si>
    <t>Boring equipment with pump and all accessories.</t>
  </si>
  <si>
    <t>timber</t>
  </si>
  <si>
    <t>Crane for handling reinforcement cage and tremie pipe</t>
  </si>
  <si>
    <t>bearing</t>
  </si>
  <si>
    <t>no.</t>
  </si>
  <si>
    <t>Gas cutter</t>
  </si>
  <si>
    <t>24.i</t>
  </si>
  <si>
    <t>Pot bearing</t>
  </si>
  <si>
    <t>Welding machine</t>
  </si>
  <si>
    <t>expansion joint</t>
  </si>
  <si>
    <t xml:space="preserve">10t-crane </t>
  </si>
  <si>
    <t>suitable material</t>
  </si>
  <si>
    <t>Screw jack</t>
  </si>
  <si>
    <t>subbase aggregate</t>
  </si>
  <si>
    <t>Electical heating plate</t>
  </si>
  <si>
    <t>aggregate</t>
  </si>
  <si>
    <r>
      <t>m</t>
    </r>
    <r>
      <rPr>
        <vertAlign val="superscript"/>
        <sz val="10"/>
        <rFont val="Times New Roman"/>
        <family val="1"/>
      </rPr>
      <t>3</t>
    </r>
    <r>
      <rPr>
        <sz val="11"/>
        <color theme="1"/>
        <rFont val="Calibri"/>
        <family val="2"/>
        <scheme val="minor"/>
      </rPr>
      <t/>
    </r>
  </si>
  <si>
    <t>Electrical hand drill</t>
  </si>
  <si>
    <t>Grass slips</t>
  </si>
  <si>
    <t>Asphalt mixing plant</t>
  </si>
  <si>
    <t>Line string</t>
  </si>
  <si>
    <r>
      <t>m</t>
    </r>
    <r>
      <rPr>
        <vertAlign val="superscript"/>
        <sz val="11"/>
        <rFont val="Times New Roman"/>
        <family val="1"/>
      </rPr>
      <t>2</t>
    </r>
  </si>
  <si>
    <t>Asphalt paver</t>
  </si>
  <si>
    <t>Zinc</t>
  </si>
  <si>
    <t>Steel tyred roller</t>
  </si>
  <si>
    <t>Elastomer/sealing element</t>
  </si>
  <si>
    <t>Tipper trucks</t>
  </si>
  <si>
    <t>MS pipes 40-50mm</t>
  </si>
  <si>
    <t>94/-per kg and 4.43 kg per rm.</t>
  </si>
  <si>
    <t>Prestressing jack with pump</t>
  </si>
  <si>
    <t>clamps</t>
  </si>
  <si>
    <t>nos</t>
  </si>
  <si>
    <t>200  prev.</t>
  </si>
  <si>
    <t>Grouting Pump</t>
  </si>
  <si>
    <t>manure</t>
  </si>
  <si>
    <t>Portable Rock Drill</t>
  </si>
  <si>
    <t>GI nut bolt 10 mm</t>
  </si>
  <si>
    <t>Hydraulic Excavator</t>
  </si>
  <si>
    <t>MS sheet</t>
  </si>
  <si>
    <t xml:space="preserve">steel plate </t>
  </si>
  <si>
    <t>Dozer</t>
  </si>
  <si>
    <t>admixture</t>
  </si>
  <si>
    <t>Plate Cpmpactor</t>
  </si>
  <si>
    <t>bitumen</t>
  </si>
  <si>
    <t>t</t>
  </si>
  <si>
    <t>Tractor with rotavator</t>
  </si>
  <si>
    <t>filler</t>
  </si>
  <si>
    <t>Paver finisher</t>
  </si>
  <si>
    <t>Prestressed additional</t>
  </si>
  <si>
    <t>tendon/wire</t>
  </si>
  <si>
    <t>tendon sheath</t>
  </si>
  <si>
    <t>anchorage assembly</t>
  </si>
  <si>
    <t>Hot dip galvanized channel</t>
  </si>
  <si>
    <t>4.75 to 8 mm dia</t>
  </si>
  <si>
    <t xml:space="preserve">7.a </t>
  </si>
  <si>
    <t>4.75 mm to 8 mm</t>
  </si>
  <si>
    <t>10-20 mm dia</t>
  </si>
  <si>
    <t>25-32 mm dia</t>
  </si>
  <si>
    <t>25 mm &amp;  32 mm dia</t>
  </si>
  <si>
    <t>G.I. Pipe 4" dia, MC</t>
  </si>
  <si>
    <t>Bhume RM</t>
  </si>
  <si>
    <t xml:space="preserve">Bhume Rural Municipality </t>
  </si>
  <si>
    <t xml:space="preserve">Office Of The Rural Municipal Executive </t>
  </si>
  <si>
    <t>Khabangbagar, Rukum (East), Lumbini Proviance, Nepal</t>
  </si>
  <si>
    <t>Summary Rate's of Road</t>
  </si>
  <si>
    <t>(Basic Rate of Labours, Materials and Equipments)</t>
  </si>
  <si>
    <t>S.N</t>
  </si>
  <si>
    <t>SOLING WORK'S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</si>
</sst>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000_);_(* \(#,##0.000\);_(* &quot;-&quot;??_);_(@_)"/>
    <numFmt numFmtId="166" formatCode="0.000000"/>
    <numFmt numFmtId="167" formatCode="_(* #,##0.0000_);_(* \(#,##0.0000\);_(* &quot;-&quot;??_);_(@_)"/>
    <numFmt numFmtId="168" formatCode="0.0000"/>
    <numFmt numFmtId="169" formatCode="[$-409]d\-mmm\-yy;@"/>
  </numFmts>
  <fonts count="26" x14ac:knownFonts="1">
    <font>
      <sz val="11"/>
      <color theme="1"/>
      <name val="Calibri"/>
      <family val="2"/>
      <scheme val="minor"/>
    </font>
    <font>
      <sz val="11"/>
      <color theme="1"/>
      <name val="Calibri"/>
      <family val="2"/>
      <scheme val="minor"/>
    </font>
    <font>
      <sz val="10"/>
      <name val="Arial"/>
      <family val="2"/>
    </font>
    <font>
      <sz val="11"/>
      <name val="Arial"/>
      <family val="2"/>
    </font>
    <font>
      <b/>
      <sz val="10.5"/>
      <color theme="1"/>
      <name val="Arial Narrow"/>
      <family val="2"/>
    </font>
    <font>
      <sz val="10.5"/>
      <color theme="1"/>
      <name val="Arial Narrow"/>
      <family val="2"/>
    </font>
    <font>
      <i/>
      <sz val="10.5"/>
      <color theme="1"/>
      <name val="Arial Narrow"/>
      <family val="2"/>
    </font>
    <font>
      <b/>
      <i/>
      <sz val="10.5"/>
      <color theme="1"/>
      <name val="Arial Narrow"/>
      <family val="2"/>
    </font>
    <font>
      <sz val="10.5"/>
      <name val="Arial Narrow"/>
      <family val="2"/>
    </font>
    <font>
      <b/>
      <sz val="10.5"/>
      <name val="Arial Narrow"/>
      <family val="2"/>
    </font>
    <font>
      <b/>
      <sz val="10.5"/>
      <color theme="1"/>
      <name val="Calibri"/>
      <family val="2"/>
    </font>
    <font>
      <sz val="11"/>
      <color theme="1"/>
      <name val="Arial Narrow"/>
      <family val="2"/>
    </font>
    <font>
      <b/>
      <sz val="11"/>
      <color theme="1"/>
      <name val="Arial Narrow"/>
      <family val="2"/>
    </font>
    <font>
      <b/>
      <sz val="12"/>
      <color theme="1"/>
      <name val="Arial Narrow"/>
      <family val="2"/>
    </font>
    <font>
      <sz val="10.5"/>
      <color rgb="FFFF0000"/>
      <name val="Arial Narrow"/>
      <family val="2"/>
    </font>
    <font>
      <vertAlign val="superscript"/>
      <sz val="10.5"/>
      <name val="Arial Narrow"/>
      <family val="2"/>
    </font>
    <font>
      <b/>
      <sz val="10.5"/>
      <color rgb="FFFF0000"/>
      <name val="Arial Narrow"/>
      <family val="2"/>
    </font>
    <font>
      <b/>
      <sz val="12"/>
      <name val="Times New Roman"/>
      <family val="1"/>
    </font>
    <font>
      <sz val="10"/>
      <name val="Times New Roman"/>
      <family val="1"/>
    </font>
    <font>
      <vertAlign val="superscript"/>
      <sz val="10"/>
      <name val="Times New Roman"/>
      <family val="1"/>
    </font>
    <font>
      <b/>
      <sz val="10"/>
      <name val="Times New Roman"/>
      <family val="1"/>
    </font>
    <font>
      <sz val="10"/>
      <color rgb="FF00B050"/>
      <name val="Times New Roman"/>
      <family val="1"/>
    </font>
    <font>
      <sz val="9"/>
      <name val="Times New Roman"/>
      <family val="1"/>
    </font>
    <font>
      <vertAlign val="superscript"/>
      <sz val="11"/>
      <name val="Times New Roman"/>
      <family val="1"/>
    </font>
    <font>
      <sz val="10"/>
      <color rgb="FFFF0000"/>
      <name val="Times New Roman"/>
      <family val="1"/>
    </font>
    <font>
      <sz val="12"/>
      <color theme="1"/>
      <name val="Arial Narrow"/>
      <family val="2"/>
    </font>
  </fonts>
  <fills count="10">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74">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8">
    <xf numFmtId="0" fontId="0" fillId="0" borderId="0"/>
    <xf numFmtId="164" fontId="1" fillId="0" borderId="0" applyFont="0" applyFill="0" applyBorder="0" applyAlignment="0" applyProtection="0"/>
    <xf numFmtId="0" fontId="2" fillId="0" borderId="0"/>
    <xf numFmtId="164" fontId="3" fillId="0" borderId="0" applyFont="0" applyFill="0" applyBorder="0" applyAlignment="0" applyProtection="0"/>
    <xf numFmtId="0" fontId="3" fillId="0" borderId="0"/>
    <xf numFmtId="164" fontId="2" fillId="0" borderId="0" applyFont="0" applyFill="0" applyBorder="0" applyAlignment="0" applyProtection="0"/>
    <xf numFmtId="0" fontId="2" fillId="0" borderId="0"/>
    <xf numFmtId="0" fontId="2" fillId="0" borderId="0"/>
  </cellStyleXfs>
  <cellXfs count="434">
    <xf numFmtId="0" fontId="0" fillId="0" borderId="0" xfId="0"/>
    <xf numFmtId="0" fontId="5" fillId="0" borderId="0" xfId="0" applyFont="1"/>
    <xf numFmtId="0" fontId="4" fillId="0" borderId="0" xfId="0" applyFont="1" applyAlignment="1">
      <alignment horizontal="center"/>
    </xf>
    <xf numFmtId="0" fontId="5" fillId="0" borderId="7" xfId="0" applyFont="1" applyBorder="1"/>
    <xf numFmtId="0" fontId="5" fillId="0" borderId="7" xfId="0" applyFont="1" applyBorder="1" applyAlignment="1">
      <alignment wrapText="1"/>
    </xf>
    <xf numFmtId="164" fontId="5" fillId="0" borderId="7" xfId="1" applyFont="1" applyBorder="1"/>
    <xf numFmtId="164" fontId="5" fillId="0" borderId="7" xfId="0" applyNumberFormat="1" applyFont="1" applyBorder="1"/>
    <xf numFmtId="0" fontId="7" fillId="0" borderId="7" xfId="0" applyFont="1" applyBorder="1"/>
    <xf numFmtId="0" fontId="8" fillId="0" borderId="7" xfId="0" applyFont="1" applyBorder="1" applyAlignment="1">
      <alignment horizontal="center" vertical="center"/>
    </xf>
    <xf numFmtId="0" fontId="9" fillId="0" borderId="7" xfId="0" applyFont="1" applyBorder="1" applyAlignment="1">
      <alignment horizontal="center" vertical="center"/>
    </xf>
    <xf numFmtId="164" fontId="8" fillId="0" borderId="7" xfId="1" applyFont="1" applyBorder="1" applyAlignment="1">
      <alignment horizontal="center" vertical="center"/>
    </xf>
    <xf numFmtId="164" fontId="8" fillId="0" borderId="7" xfId="0" applyNumberFormat="1" applyFont="1" applyBorder="1" applyAlignment="1">
      <alignment horizontal="center" vertical="center"/>
    </xf>
    <xf numFmtId="164" fontId="8" fillId="0" borderId="7" xfId="1" applyFont="1" applyBorder="1" applyAlignment="1">
      <alignment horizontal="center" vertical="center" shrinkToFit="1"/>
    </xf>
    <xf numFmtId="2" fontId="8" fillId="0" borderId="7" xfId="0" applyNumberFormat="1" applyFont="1" applyBorder="1" applyAlignment="1">
      <alignment horizontal="center" vertical="center" shrinkToFit="1"/>
    </xf>
    <xf numFmtId="164" fontId="8" fillId="0" borderId="7" xfId="1" applyFont="1" applyBorder="1" applyAlignment="1">
      <alignment horizontal="center" shrinkToFit="1"/>
    </xf>
    <xf numFmtId="0" fontId="5" fillId="0" borderId="0" xfId="0" applyFont="1" applyBorder="1"/>
    <xf numFmtId="164" fontId="8" fillId="0" borderId="22" xfId="1" applyFont="1" applyBorder="1" applyAlignment="1">
      <alignment horizontal="center" vertical="center"/>
    </xf>
    <xf numFmtId="164" fontId="9" fillId="0" borderId="23" xfId="1" applyFont="1" applyBorder="1" applyAlignment="1">
      <alignment horizontal="center" vertical="center" shrinkToFit="1"/>
    </xf>
    <xf numFmtId="0" fontId="8" fillId="0" borderId="0" xfId="0" applyFont="1" applyBorder="1"/>
    <xf numFmtId="0" fontId="9" fillId="0" borderId="0" xfId="0" applyFont="1" applyBorder="1" applyAlignment="1">
      <alignment horizontal="center" vertical="center"/>
    </xf>
    <xf numFmtId="164" fontId="9" fillId="0" borderId="7" xfId="1" applyFont="1" applyBorder="1" applyAlignment="1">
      <alignment horizontal="center" vertical="center" shrinkToFit="1"/>
    </xf>
    <xf numFmtId="0" fontId="5" fillId="0" borderId="7"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left" vertical="center" wrapText="1"/>
    </xf>
    <xf numFmtId="164" fontId="5" fillId="0" borderId="7" xfId="1" applyFont="1" applyBorder="1" applyAlignment="1">
      <alignment vertical="center"/>
    </xf>
    <xf numFmtId="164" fontId="9" fillId="0" borderId="7" xfId="1" applyFont="1" applyBorder="1" applyAlignment="1">
      <alignment horizontal="center" vertical="center"/>
    </xf>
    <xf numFmtId="0" fontId="5" fillId="0" borderId="7" xfId="0" applyFont="1" applyBorder="1" applyAlignment="1">
      <alignment vertical="center"/>
    </xf>
    <xf numFmtId="164" fontId="9" fillId="0" borderId="7" xfId="0" applyNumberFormat="1" applyFont="1" applyBorder="1" applyAlignment="1">
      <alignment horizontal="center" vertical="center"/>
    </xf>
    <xf numFmtId="164" fontId="5" fillId="0" borderId="0" xfId="0" applyNumberFormat="1" applyFont="1"/>
    <xf numFmtId="0" fontId="5" fillId="0" borderId="7" xfId="0" applyFont="1" applyBorder="1" applyAlignment="1">
      <alignment vertical="center" wrapText="1"/>
    </xf>
    <xf numFmtId="164" fontId="5" fillId="0" borderId="0" xfId="1"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8" fillId="0" borderId="0" xfId="0" applyFont="1" applyBorder="1" applyAlignment="1">
      <alignment vertical="center"/>
    </xf>
    <xf numFmtId="0" fontId="4" fillId="0" borderId="0" xfId="0" applyFont="1" applyAlignment="1">
      <alignment horizontal="center" vertical="center"/>
    </xf>
    <xf numFmtId="164" fontId="5" fillId="3" borderId="7" xfId="0" applyNumberFormat="1" applyFont="1" applyFill="1" applyBorder="1"/>
    <xf numFmtId="164" fontId="5" fillId="0" borderId="7" xfId="0" applyNumberFormat="1" applyFont="1" applyBorder="1" applyAlignment="1">
      <alignment vertical="center"/>
    </xf>
    <xf numFmtId="0" fontId="11" fillId="0" borderId="0" xfId="0" applyFont="1"/>
    <xf numFmtId="0" fontId="11" fillId="0" borderId="7" xfId="0" applyFont="1" applyBorder="1"/>
    <xf numFmtId="0" fontId="11" fillId="0" borderId="7" xfId="0" applyFont="1" applyBorder="1" applyAlignment="1">
      <alignment vertical="center"/>
    </xf>
    <xf numFmtId="164" fontId="11" fillId="0" borderId="7" xfId="1" applyFont="1" applyBorder="1"/>
    <xf numFmtId="164" fontId="11" fillId="0" borderId="7" xfId="0" applyNumberFormat="1" applyFont="1" applyBorder="1"/>
    <xf numFmtId="164" fontId="11" fillId="0" borderId="7" xfId="1" applyFont="1" applyBorder="1" applyAlignment="1">
      <alignment vertical="center"/>
    </xf>
    <xf numFmtId="0" fontId="11" fillId="0" borderId="7" xfId="0" applyFont="1" applyBorder="1" applyAlignment="1">
      <alignment horizontal="center"/>
    </xf>
    <xf numFmtId="0" fontId="12" fillId="0" borderId="7" xfId="0" applyFont="1" applyBorder="1" applyAlignment="1">
      <alignment vertical="center"/>
    </xf>
    <xf numFmtId="0" fontId="12" fillId="0" borderId="7" xfId="0" applyFont="1" applyBorder="1" applyAlignment="1">
      <alignment vertical="center" wrapText="1"/>
    </xf>
    <xf numFmtId="0" fontId="11" fillId="0" borderId="0" xfId="0" applyFont="1" applyBorder="1"/>
    <xf numFmtId="0" fontId="11" fillId="0" borderId="0" xfId="0" applyFont="1" applyAlignment="1">
      <alignment vertical="center"/>
    </xf>
    <xf numFmtId="0" fontId="11" fillId="0" borderId="7" xfId="0" applyFont="1" applyBorder="1" applyAlignment="1">
      <alignment vertical="center" wrapText="1"/>
    </xf>
    <xf numFmtId="0" fontId="12" fillId="4" borderId="15" xfId="0" applyFont="1" applyFill="1" applyBorder="1" applyAlignment="1">
      <alignment horizontal="center"/>
    </xf>
    <xf numFmtId="0" fontId="12" fillId="3" borderId="7" xfId="0" applyFont="1" applyFill="1" applyBorder="1"/>
    <xf numFmtId="0" fontId="11" fillId="3" borderId="7" xfId="0" applyFont="1" applyFill="1" applyBorder="1" applyAlignment="1">
      <alignment horizontal="center"/>
    </xf>
    <xf numFmtId="164" fontId="12" fillId="4" borderId="15" xfId="1" applyFont="1" applyFill="1" applyBorder="1" applyAlignment="1">
      <alignment horizontal="center"/>
    </xf>
    <xf numFmtId="164" fontId="11" fillId="0" borderId="7" xfId="0" applyNumberFormat="1" applyFont="1" applyBorder="1" applyAlignment="1">
      <alignment vertical="center"/>
    </xf>
    <xf numFmtId="164" fontId="11" fillId="0" borderId="0" xfId="1" applyFont="1" applyBorder="1"/>
    <xf numFmtId="0" fontId="12" fillId="0" borderId="19" xfId="0" applyFont="1" applyBorder="1" applyAlignment="1">
      <alignment vertical="center" wrapText="1"/>
    </xf>
    <xf numFmtId="0" fontId="12" fillId="3" borderId="7" xfId="0" applyFont="1" applyFill="1" applyBorder="1" applyAlignment="1">
      <alignment vertical="center" wrapText="1"/>
    </xf>
    <xf numFmtId="0" fontId="12" fillId="3" borderId="7" xfId="0" applyFont="1" applyFill="1" applyBorder="1" applyAlignment="1">
      <alignment vertical="center"/>
    </xf>
    <xf numFmtId="0" fontId="11" fillId="0" borderId="0" xfId="0" applyFont="1" applyFill="1" applyAlignment="1">
      <alignment vertical="center"/>
    </xf>
    <xf numFmtId="0" fontId="12" fillId="3" borderId="7" xfId="0" applyFont="1" applyFill="1" applyBorder="1" applyAlignment="1">
      <alignment horizontal="center"/>
    </xf>
    <xf numFmtId="0" fontId="9" fillId="0" borderId="1"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3" xfId="2" applyFont="1" applyFill="1" applyBorder="1" applyAlignment="1">
      <alignment horizontal="center" vertical="center"/>
    </xf>
    <xf numFmtId="164" fontId="9" fillId="0" borderId="3" xfId="3" applyFont="1" applyFill="1" applyBorder="1" applyAlignment="1">
      <alignment horizontal="center" vertical="center"/>
    </xf>
    <xf numFmtId="0" fontId="9" fillId="0" borderId="4" xfId="2" applyFont="1" applyFill="1" applyBorder="1" applyAlignment="1">
      <alignment horizontal="center" vertical="center" wrapText="1"/>
    </xf>
    <xf numFmtId="0" fontId="9" fillId="0" borderId="4" xfId="2" applyFont="1" applyFill="1" applyBorder="1" applyAlignment="1">
      <alignment horizontal="center" vertical="center"/>
    </xf>
    <xf numFmtId="164" fontId="9" fillId="0" borderId="4" xfId="3" applyFont="1" applyFill="1" applyBorder="1" applyAlignment="1">
      <alignment horizontal="center" vertical="center"/>
    </xf>
    <xf numFmtId="0" fontId="9" fillId="0" borderId="5" xfId="2" applyFont="1" applyFill="1" applyBorder="1" applyAlignment="1">
      <alignment horizontal="center" vertical="center"/>
    </xf>
    <xf numFmtId="0" fontId="9" fillId="0" borderId="0" xfId="2" applyFont="1" applyFill="1" applyBorder="1" applyAlignment="1">
      <alignment horizontal="center" vertical="center"/>
    </xf>
    <xf numFmtId="0" fontId="9" fillId="0" borderId="9" xfId="2" applyFont="1" applyFill="1" applyBorder="1" applyAlignment="1">
      <alignment horizontal="center" vertical="center"/>
    </xf>
    <xf numFmtId="0" fontId="9" fillId="0" borderId="10" xfId="2" applyFont="1" applyFill="1" applyBorder="1" applyAlignment="1">
      <alignment horizontal="left" vertical="center"/>
    </xf>
    <xf numFmtId="0" fontId="9" fillId="0" borderId="11" xfId="2" applyFont="1" applyFill="1" applyBorder="1" applyAlignment="1">
      <alignment horizontal="center" vertical="center"/>
    </xf>
    <xf numFmtId="164" fontId="9" fillId="0" borderId="11" xfId="3" applyFont="1" applyFill="1" applyBorder="1" applyAlignment="1">
      <alignment horizontal="center" vertical="center"/>
    </xf>
    <xf numFmtId="0" fontId="9" fillId="0" borderId="12" xfId="2" applyFont="1" applyFill="1" applyBorder="1" applyAlignment="1">
      <alignment horizontal="center" vertical="center"/>
    </xf>
    <xf numFmtId="164" fontId="9" fillId="0" borderId="12" xfId="3" applyFont="1" applyFill="1" applyBorder="1" applyAlignment="1">
      <alignment horizontal="center" vertical="center"/>
    </xf>
    <xf numFmtId="0" fontId="9" fillId="0" borderId="13" xfId="2" applyFont="1" applyFill="1" applyBorder="1" applyAlignment="1">
      <alignment horizontal="center" vertical="center"/>
    </xf>
    <xf numFmtId="0" fontId="8" fillId="0" borderId="14" xfId="2" applyFont="1" applyFill="1" applyBorder="1" applyAlignment="1">
      <alignment horizontal="center" vertical="center"/>
    </xf>
    <xf numFmtId="0" fontId="8" fillId="0" borderId="15" xfId="2" applyFont="1" applyFill="1" applyBorder="1" applyAlignment="1">
      <alignment vertical="center" wrapText="1"/>
    </xf>
    <xf numFmtId="0" fontId="8" fillId="0" borderId="15" xfId="2" applyFont="1" applyFill="1" applyBorder="1" applyAlignment="1">
      <alignment horizontal="center" vertical="center"/>
    </xf>
    <xf numFmtId="164" fontId="8" fillId="0" borderId="15" xfId="3" applyFont="1" applyFill="1" applyBorder="1" applyAlignment="1">
      <alignment horizontal="center" vertical="center"/>
    </xf>
    <xf numFmtId="0" fontId="8" fillId="0" borderId="16" xfId="2" applyFont="1" applyFill="1" applyBorder="1" applyAlignment="1">
      <alignment horizontal="center" vertical="center"/>
    </xf>
    <xf numFmtId="164" fontId="8" fillId="0" borderId="16" xfId="3" applyFont="1" applyFill="1" applyBorder="1" applyAlignment="1">
      <alignment horizontal="center" vertical="center"/>
    </xf>
    <xf numFmtId="0" fontId="8" fillId="0" borderId="17" xfId="2" applyFont="1" applyFill="1" applyBorder="1" applyAlignment="1">
      <alignment horizontal="center" vertical="center"/>
    </xf>
    <xf numFmtId="0" fontId="8" fillId="0" borderId="6" xfId="2" applyFont="1" applyFill="1" applyBorder="1" applyAlignment="1">
      <alignment horizontal="right" vertical="center"/>
    </xf>
    <xf numFmtId="0" fontId="8" fillId="0" borderId="15" xfId="2" applyFont="1" applyFill="1" applyBorder="1" applyAlignment="1">
      <alignment horizontal="right" vertical="center" wrapText="1"/>
    </xf>
    <xf numFmtId="0" fontId="8" fillId="0" borderId="7" xfId="2" applyFont="1" applyFill="1" applyBorder="1" applyAlignment="1">
      <alignment horizontal="center" vertical="center"/>
    </xf>
    <xf numFmtId="164" fontId="8" fillId="0" borderId="7" xfId="3" applyFont="1" applyFill="1" applyBorder="1" applyAlignment="1">
      <alignment horizontal="center" vertical="center"/>
    </xf>
    <xf numFmtId="164" fontId="8" fillId="0" borderId="16" xfId="1" applyFont="1" applyFill="1" applyBorder="1" applyAlignment="1">
      <alignment horizontal="center" vertical="center"/>
    </xf>
    <xf numFmtId="0" fontId="8" fillId="0" borderId="8" xfId="2" applyFont="1" applyFill="1" applyBorder="1" applyAlignment="1">
      <alignment horizontal="center" vertical="center"/>
    </xf>
    <xf numFmtId="0" fontId="8" fillId="0" borderId="6" xfId="2" applyFont="1" applyFill="1" applyBorder="1" applyAlignment="1">
      <alignment horizontal="center" vertical="center"/>
    </xf>
    <xf numFmtId="164" fontId="14" fillId="0" borderId="7" xfId="3" applyFont="1" applyFill="1" applyBorder="1" applyAlignment="1">
      <alignment horizontal="center" vertical="center"/>
    </xf>
    <xf numFmtId="18" fontId="8" fillId="0" borderId="6" xfId="2" quotePrefix="1" applyNumberFormat="1" applyFont="1" applyFill="1" applyBorder="1" applyAlignment="1">
      <alignment horizontal="right" vertical="center"/>
    </xf>
    <xf numFmtId="18" fontId="8" fillId="0" borderId="6" xfId="2" applyNumberFormat="1" applyFont="1" applyFill="1" applyBorder="1" applyAlignment="1">
      <alignment horizontal="right" vertical="center"/>
    </xf>
    <xf numFmtId="0" fontId="8" fillId="0" borderId="7" xfId="2" applyFont="1" applyFill="1" applyBorder="1" applyAlignment="1">
      <alignment horizontal="right" vertical="center" wrapText="1"/>
    </xf>
    <xf numFmtId="0" fontId="8" fillId="0" borderId="7" xfId="2" applyFont="1" applyFill="1" applyBorder="1" applyAlignment="1">
      <alignment vertical="center" wrapText="1"/>
    </xf>
    <xf numFmtId="164" fontId="8" fillId="0" borderId="18" xfId="1" applyFont="1" applyFill="1" applyBorder="1" applyAlignment="1">
      <alignment horizontal="center" vertical="center"/>
    </xf>
    <xf numFmtId="0" fontId="8" fillId="0" borderId="8" xfId="2" quotePrefix="1" applyFont="1" applyFill="1" applyBorder="1" applyAlignment="1">
      <alignment horizontal="center" vertical="center" wrapText="1"/>
    </xf>
    <xf numFmtId="164" fontId="8" fillId="0" borderId="8" xfId="2" quotePrefix="1" applyNumberFormat="1" applyFont="1" applyFill="1" applyBorder="1" applyAlignment="1">
      <alignment horizontal="center" vertical="center"/>
    </xf>
    <xf numFmtId="0" fontId="8" fillId="0" borderId="8" xfId="2" quotePrefix="1" applyFont="1" applyFill="1" applyBorder="1" applyAlignment="1">
      <alignment horizontal="center" vertical="center"/>
    </xf>
    <xf numFmtId="0" fontId="8" fillId="0" borderId="7" xfId="2" applyFont="1" applyFill="1" applyBorder="1" applyAlignment="1">
      <alignment horizontal="left" vertical="center" wrapText="1"/>
    </xf>
    <xf numFmtId="0" fontId="8" fillId="0" borderId="18" xfId="2" applyFont="1" applyFill="1" applyBorder="1" applyAlignment="1">
      <alignment horizontal="center" vertical="center"/>
    </xf>
    <xf numFmtId="165" fontId="8" fillId="0" borderId="7" xfId="3" applyNumberFormat="1" applyFont="1" applyFill="1" applyBorder="1" applyAlignment="1">
      <alignment horizontal="center" vertical="center"/>
    </xf>
    <xf numFmtId="164" fontId="8" fillId="0" borderId="18" xfId="3" applyFont="1" applyFill="1" applyBorder="1" applyAlignment="1">
      <alignment horizontal="center" vertical="center"/>
    </xf>
    <xf numFmtId="164" fontId="9" fillId="0" borderId="16" xfId="3" applyFont="1" applyFill="1" applyBorder="1" applyAlignment="1">
      <alignment horizontal="center" vertical="center"/>
    </xf>
    <xf numFmtId="2" fontId="8" fillId="0" borderId="18" xfId="2" applyNumberFormat="1" applyFont="1" applyFill="1" applyBorder="1" applyAlignment="1">
      <alignment horizontal="center" vertical="center"/>
    </xf>
    <xf numFmtId="2" fontId="8" fillId="0" borderId="16" xfId="2" applyNumberFormat="1" applyFont="1" applyFill="1" applyBorder="1" applyAlignment="1">
      <alignment horizontal="center" vertical="center"/>
    </xf>
    <xf numFmtId="0" fontId="9" fillId="0" borderId="10" xfId="2" applyFont="1" applyFill="1" applyBorder="1" applyAlignment="1">
      <alignment horizontal="left" vertical="center" wrapText="1"/>
    </xf>
    <xf numFmtId="164" fontId="16" fillId="0" borderId="7" xfId="3" applyFont="1" applyFill="1" applyBorder="1" applyAlignment="1">
      <alignment horizontal="center" vertical="center"/>
    </xf>
    <xf numFmtId="0" fontId="9" fillId="0" borderId="7" xfId="2" applyFont="1" applyFill="1" applyBorder="1" applyAlignment="1">
      <alignment horizontal="center" vertical="center"/>
    </xf>
    <xf numFmtId="0" fontId="8" fillId="0" borderId="19" xfId="2" applyFont="1" applyFill="1" applyBorder="1" applyAlignment="1">
      <alignment vertical="center" wrapText="1"/>
    </xf>
    <xf numFmtId="164" fontId="8" fillId="0" borderId="18" xfId="2" applyNumberFormat="1" applyFont="1" applyFill="1" applyBorder="1" applyAlignment="1">
      <alignment horizontal="center" vertical="center"/>
    </xf>
    <xf numFmtId="0" fontId="8" fillId="3" borderId="6" xfId="2" applyFont="1" applyFill="1" applyBorder="1" applyAlignment="1">
      <alignment horizontal="center" vertical="center"/>
    </xf>
    <xf numFmtId="0" fontId="8" fillId="3" borderId="7" xfId="2" applyFont="1" applyFill="1" applyBorder="1" applyAlignment="1">
      <alignment vertical="center" wrapText="1"/>
    </xf>
    <xf numFmtId="0" fontId="8" fillId="3" borderId="7" xfId="2" applyFont="1" applyFill="1" applyBorder="1" applyAlignment="1">
      <alignment horizontal="center" vertical="center"/>
    </xf>
    <xf numFmtId="164" fontId="8" fillId="3" borderId="7" xfId="3" applyFont="1" applyFill="1" applyBorder="1" applyAlignment="1">
      <alignment horizontal="center" vertical="center"/>
    </xf>
    <xf numFmtId="0" fontId="8" fillId="3" borderId="18" xfId="2" applyFont="1" applyFill="1" applyBorder="1" applyAlignment="1">
      <alignment horizontal="center" vertical="center"/>
    </xf>
    <xf numFmtId="0" fontId="8" fillId="3" borderId="16" xfId="2" applyFont="1" applyFill="1" applyBorder="1" applyAlignment="1">
      <alignment horizontal="center" vertical="center"/>
    </xf>
    <xf numFmtId="164" fontId="8" fillId="3" borderId="16" xfId="3" applyFont="1" applyFill="1" applyBorder="1" applyAlignment="1">
      <alignment horizontal="center" vertical="center"/>
    </xf>
    <xf numFmtId="0" fontId="8" fillId="3" borderId="8"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19" xfId="2" applyFont="1" applyFill="1" applyBorder="1" applyAlignment="1">
      <alignment vertical="center" wrapText="1"/>
    </xf>
    <xf numFmtId="0" fontId="8" fillId="2" borderId="7" xfId="2" applyFont="1" applyFill="1" applyBorder="1" applyAlignment="1">
      <alignment horizontal="center" vertical="center"/>
    </xf>
    <xf numFmtId="164" fontId="8" fillId="2" borderId="7" xfId="3" applyFont="1" applyFill="1" applyBorder="1" applyAlignment="1">
      <alignment horizontal="center" vertical="center"/>
    </xf>
    <xf numFmtId="0" fontId="8" fillId="2" borderId="18" xfId="2" applyFont="1" applyFill="1" applyBorder="1" applyAlignment="1">
      <alignment horizontal="center" vertical="center"/>
    </xf>
    <xf numFmtId="164" fontId="8" fillId="2" borderId="18" xfId="2" applyNumberFormat="1" applyFont="1" applyFill="1" applyBorder="1" applyAlignment="1">
      <alignment horizontal="center" vertical="center"/>
    </xf>
    <xf numFmtId="164" fontId="8" fillId="2" borderId="18" xfId="3" applyFont="1" applyFill="1" applyBorder="1" applyAlignment="1">
      <alignment horizontal="center" vertical="center"/>
    </xf>
    <xf numFmtId="166" fontId="11" fillId="0" borderId="0" xfId="0" applyNumberFormat="1" applyFont="1" applyAlignment="1">
      <alignment vertical="center"/>
    </xf>
    <xf numFmtId="0" fontId="5" fillId="0" borderId="7" xfId="0" applyFont="1" applyBorder="1" applyAlignment="1">
      <alignment horizontal="center" vertical="center"/>
    </xf>
    <xf numFmtId="0" fontId="9" fillId="0" borderId="7" xfId="0" applyFont="1" applyBorder="1" applyAlignment="1">
      <alignment horizontal="center" vertical="center"/>
    </xf>
    <xf numFmtId="0" fontId="4" fillId="0" borderId="26" xfId="0" applyFont="1" applyBorder="1" applyAlignment="1">
      <alignment horizontal="center"/>
    </xf>
    <xf numFmtId="164" fontId="11" fillId="5" borderId="7" xfId="1" applyFont="1" applyFill="1" applyBorder="1" applyAlignment="1">
      <alignment vertical="center"/>
    </xf>
    <xf numFmtId="167" fontId="5" fillId="0" borderId="7" xfId="1" applyNumberFormat="1" applyFont="1" applyBorder="1" applyAlignment="1">
      <alignment vertical="center"/>
    </xf>
    <xf numFmtId="164" fontId="11" fillId="0" borderId="0" xfId="1" applyFont="1" applyAlignment="1">
      <alignment vertical="center"/>
    </xf>
    <xf numFmtId="0" fontId="12" fillId="0" borderId="0" xfId="0" applyFont="1" applyAlignment="1">
      <alignment vertical="center"/>
    </xf>
    <xf numFmtId="0" fontId="12" fillId="0" borderId="7" xfId="0" applyFont="1" applyBorder="1" applyAlignment="1">
      <alignment horizontal="center" vertical="center"/>
    </xf>
    <xf numFmtId="0" fontId="13" fillId="0" borderId="0" xfId="0" applyFont="1" applyAlignment="1">
      <alignment vertical="center"/>
    </xf>
    <xf numFmtId="164" fontId="11" fillId="0" borderId="0" xfId="0" applyNumberFormat="1" applyFont="1" applyAlignment="1">
      <alignment vertical="center"/>
    </xf>
    <xf numFmtId="0" fontId="18" fillId="0" borderId="0" xfId="7" applyFont="1" applyBorder="1"/>
    <xf numFmtId="0" fontId="18" fillId="0" borderId="0" xfId="7" applyFont="1" applyBorder="1" applyAlignment="1">
      <alignment vertical="top"/>
    </xf>
    <xf numFmtId="0" fontId="18" fillId="0" borderId="0" xfId="7" applyFont="1" applyAlignment="1">
      <alignment vertical="top"/>
    </xf>
    <xf numFmtId="0" fontId="18" fillId="0" borderId="0" xfId="7" applyFont="1" applyBorder="1" applyAlignment="1">
      <alignment vertical="top" wrapText="1"/>
    </xf>
    <xf numFmtId="0" fontId="18" fillId="0" borderId="0" xfId="7" applyFont="1" applyBorder="1" applyAlignment="1">
      <alignment horizontal="right" vertical="top"/>
    </xf>
    <xf numFmtId="0" fontId="18" fillId="0" borderId="0" xfId="7" applyFont="1"/>
    <xf numFmtId="0" fontId="18" fillId="0" borderId="34" xfId="7" applyFont="1" applyBorder="1" applyAlignment="1">
      <alignment horizontal="center" vertical="center"/>
    </xf>
    <xf numFmtId="0" fontId="18" fillId="0" borderId="35" xfId="7" applyFont="1" applyBorder="1" applyAlignment="1">
      <alignment horizontal="center" vertical="center"/>
    </xf>
    <xf numFmtId="0" fontId="18" fillId="0" borderId="33" xfId="7" applyFont="1" applyBorder="1" applyAlignment="1">
      <alignment horizontal="center" vertical="center" shrinkToFit="1"/>
    </xf>
    <xf numFmtId="0" fontId="18" fillId="0" borderId="34" xfId="7" applyFont="1" applyBorder="1" applyAlignment="1">
      <alignment horizontal="left" vertical="center" shrinkToFit="1"/>
    </xf>
    <xf numFmtId="0" fontId="18" fillId="0" borderId="34" xfId="7" applyFont="1" applyBorder="1" applyAlignment="1">
      <alignment horizontal="center" vertical="center" shrinkToFit="1"/>
    </xf>
    <xf numFmtId="2" fontId="18" fillId="0" borderId="34" xfId="7" applyNumberFormat="1" applyFont="1" applyBorder="1" applyAlignment="1">
      <alignment horizontal="right" vertical="center" shrinkToFit="1"/>
    </xf>
    <xf numFmtId="2" fontId="18" fillId="0" borderId="34" xfId="7" applyNumberFormat="1" applyFont="1" applyFill="1" applyBorder="1" applyAlignment="1">
      <alignment horizontal="right" vertical="center" shrinkToFit="1"/>
    </xf>
    <xf numFmtId="2" fontId="18" fillId="0" borderId="34" xfId="7" applyNumberFormat="1" applyFont="1" applyFill="1" applyBorder="1" applyAlignment="1">
      <alignment horizontal="center" wrapText="1"/>
    </xf>
    <xf numFmtId="2" fontId="18" fillId="0" borderId="34" xfId="7" applyNumberFormat="1" applyFont="1" applyFill="1" applyBorder="1" applyAlignment="1">
      <alignment horizontal="left" shrinkToFit="1"/>
    </xf>
    <xf numFmtId="2" fontId="18" fillId="0" borderId="34" xfId="7" applyNumberFormat="1" applyFont="1" applyFill="1" applyBorder="1" applyAlignment="1">
      <alignment horizontal="right" shrinkToFit="1"/>
    </xf>
    <xf numFmtId="2" fontId="18" fillId="0" borderId="34" xfId="7" applyNumberFormat="1" applyFont="1" applyFill="1" applyBorder="1" applyAlignment="1">
      <alignment horizontal="right"/>
    </xf>
    <xf numFmtId="2" fontId="18" fillId="0" borderId="34" xfId="7" applyNumberFormat="1" applyFont="1" applyFill="1" applyBorder="1" applyAlignment="1">
      <alignment horizontal="center" vertical="center"/>
    </xf>
    <xf numFmtId="2" fontId="18" fillId="0" borderId="34" xfId="7" applyNumberFormat="1" applyFont="1" applyFill="1" applyBorder="1" applyAlignment="1">
      <alignment horizontal="center" vertical="center" shrinkToFit="1"/>
    </xf>
    <xf numFmtId="9" fontId="18" fillId="0" borderId="34" xfId="7" applyNumberFormat="1" applyFont="1" applyFill="1" applyBorder="1" applyAlignment="1">
      <alignment horizontal="center" vertical="center" shrinkToFit="1"/>
    </xf>
    <xf numFmtId="2" fontId="18" fillId="0" borderId="35" xfId="7" applyNumberFormat="1" applyFont="1" applyBorder="1" applyAlignment="1">
      <alignment horizontal="right" shrinkToFit="1"/>
    </xf>
    <xf numFmtId="2" fontId="18" fillId="0" borderId="16" xfId="7" applyNumberFormat="1" applyFont="1" applyBorder="1" applyAlignment="1">
      <alignment horizontal="center"/>
    </xf>
    <xf numFmtId="0" fontId="18" fillId="0" borderId="26" xfId="7" applyFont="1" applyBorder="1" applyAlignment="1">
      <alignment horizontal="center"/>
    </xf>
    <xf numFmtId="0" fontId="18" fillId="0" borderId="26" xfId="7" applyFont="1" applyFill="1" applyBorder="1" applyAlignment="1">
      <alignment horizontal="center"/>
    </xf>
    <xf numFmtId="0" fontId="18" fillId="0" borderId="26" xfId="7" applyFont="1" applyBorder="1" applyAlignment="1">
      <alignment vertical="center"/>
    </xf>
    <xf numFmtId="2" fontId="18" fillId="6" borderId="26" xfId="7" applyNumberFormat="1" applyFont="1" applyFill="1" applyBorder="1" applyAlignment="1">
      <alignment vertical="center"/>
    </xf>
    <xf numFmtId="168" fontId="18" fillId="0" borderId="26" xfId="7" applyNumberFormat="1" applyFont="1" applyFill="1" applyBorder="1" applyAlignment="1">
      <alignment horizontal="center"/>
    </xf>
    <xf numFmtId="2" fontId="18" fillId="0" borderId="28" xfId="7" applyNumberFormat="1" applyFont="1" applyBorder="1" applyAlignment="1">
      <alignment horizontal="right"/>
    </xf>
    <xf numFmtId="2" fontId="18" fillId="0" borderId="34" xfId="7" applyNumberFormat="1" applyFont="1" applyFill="1" applyBorder="1" applyAlignment="1">
      <alignment horizontal="left"/>
    </xf>
    <xf numFmtId="9" fontId="18" fillId="0" borderId="34" xfId="7" applyNumberFormat="1" applyFont="1" applyFill="1" applyBorder="1" applyAlignment="1">
      <alignment horizontal="right" shrinkToFit="1"/>
    </xf>
    <xf numFmtId="2" fontId="20" fillId="6" borderId="26" xfId="7" applyNumberFormat="1" applyFont="1" applyFill="1" applyBorder="1" applyAlignment="1">
      <alignment vertical="center"/>
    </xf>
    <xf numFmtId="2" fontId="18" fillId="0" borderId="36" xfId="7" applyNumberFormat="1" applyFont="1" applyBorder="1" applyAlignment="1">
      <alignment horizontal="center" shrinkToFit="1"/>
    </xf>
    <xf numFmtId="0" fontId="18" fillId="0" borderId="37" xfId="7" applyFont="1" applyBorder="1" applyAlignment="1">
      <alignment horizontal="left" vertical="center" shrinkToFit="1"/>
    </xf>
    <xf numFmtId="0" fontId="18" fillId="0" borderId="37" xfId="7" applyFont="1" applyBorder="1" applyAlignment="1">
      <alignment horizontal="center" vertical="center" shrinkToFit="1"/>
    </xf>
    <xf numFmtId="2" fontId="18" fillId="0" borderId="37" xfId="7" applyNumberFormat="1" applyFont="1" applyBorder="1" applyAlignment="1">
      <alignment horizontal="right" vertical="center" shrinkToFit="1"/>
    </xf>
    <xf numFmtId="2" fontId="18" fillId="0" borderId="37" xfId="7" applyNumberFormat="1" applyFont="1" applyFill="1" applyBorder="1" applyAlignment="1">
      <alignment horizontal="right" shrinkToFit="1"/>
    </xf>
    <xf numFmtId="2" fontId="18" fillId="0" borderId="37" xfId="7" applyNumberFormat="1" applyFont="1" applyFill="1" applyBorder="1" applyAlignment="1">
      <alignment horizontal="left" shrinkToFit="1"/>
    </xf>
    <xf numFmtId="2" fontId="18" fillId="0" borderId="37" xfId="7" applyNumberFormat="1" applyFont="1" applyFill="1" applyBorder="1" applyAlignment="1">
      <alignment horizontal="right"/>
    </xf>
    <xf numFmtId="9" fontId="18" fillId="0" borderId="37" xfId="7" applyNumberFormat="1" applyFont="1" applyFill="1" applyBorder="1" applyAlignment="1">
      <alignment horizontal="right" shrinkToFit="1"/>
    </xf>
    <xf numFmtId="2" fontId="18" fillId="0" borderId="38" xfId="7" applyNumberFormat="1" applyFont="1" applyBorder="1" applyAlignment="1">
      <alignment horizontal="right" shrinkToFit="1"/>
    </xf>
    <xf numFmtId="2" fontId="18" fillId="0" borderId="16" xfId="7" applyNumberFormat="1" applyFont="1" applyBorder="1" applyAlignment="1">
      <alignment horizontal="center" shrinkToFit="1"/>
    </xf>
    <xf numFmtId="0" fontId="18" fillId="0" borderId="26" xfId="7" applyFont="1" applyBorder="1" applyAlignment="1">
      <alignment horizontal="left" vertical="center" shrinkToFit="1"/>
    </xf>
    <xf numFmtId="0" fontId="18" fillId="0" borderId="26" xfId="7" applyFont="1" applyBorder="1" applyAlignment="1">
      <alignment horizontal="center" vertical="center" shrinkToFit="1"/>
    </xf>
    <xf numFmtId="2" fontId="18" fillId="0" borderId="26" xfId="7" applyNumberFormat="1" applyFont="1" applyBorder="1" applyAlignment="1">
      <alignment horizontal="right" vertical="center" shrinkToFit="1"/>
    </xf>
    <xf numFmtId="2" fontId="18" fillId="0" borderId="26" xfId="7" applyNumberFormat="1" applyFont="1" applyFill="1" applyBorder="1" applyAlignment="1">
      <alignment horizontal="right" shrinkToFit="1"/>
    </xf>
    <xf numFmtId="2" fontId="18" fillId="0" borderId="26" xfId="7" applyNumberFormat="1" applyFont="1" applyFill="1" applyBorder="1" applyAlignment="1">
      <alignment horizontal="left" shrinkToFit="1"/>
    </xf>
    <xf numFmtId="2" fontId="18" fillId="0" borderId="26" xfId="7" applyNumberFormat="1" applyFont="1" applyFill="1" applyBorder="1" applyAlignment="1">
      <alignment horizontal="right"/>
    </xf>
    <xf numFmtId="9" fontId="18" fillId="0" borderId="26" xfId="7" applyNumberFormat="1" applyFont="1" applyFill="1" applyBorder="1" applyAlignment="1">
      <alignment horizontal="right" shrinkToFit="1"/>
    </xf>
    <xf numFmtId="2" fontId="18" fillId="0" borderId="28" xfId="7" applyNumberFormat="1" applyFont="1" applyBorder="1" applyAlignment="1">
      <alignment horizontal="right" shrinkToFit="1"/>
    </xf>
    <xf numFmtId="0" fontId="2" fillId="0" borderId="0" xfId="7"/>
    <xf numFmtId="0" fontId="8" fillId="0" borderId="24" xfId="2" applyFont="1" applyFill="1" applyBorder="1" applyAlignment="1">
      <alignment horizontal="center" vertical="center"/>
    </xf>
    <xf numFmtId="0" fontId="8" fillId="0" borderId="22" xfId="2" applyFont="1" applyFill="1" applyBorder="1" applyAlignment="1">
      <alignment vertical="center" wrapText="1"/>
    </xf>
    <xf numFmtId="0" fontId="8" fillId="0" borderId="22" xfId="2" applyFont="1" applyFill="1" applyBorder="1" applyAlignment="1">
      <alignment horizontal="center" vertical="center"/>
    </xf>
    <xf numFmtId="164" fontId="8" fillId="0" borderId="22" xfId="3" applyFont="1" applyFill="1" applyBorder="1" applyAlignment="1">
      <alignment horizontal="center" vertical="center"/>
    </xf>
    <xf numFmtId="0" fontId="8" fillId="0" borderId="39" xfId="2" applyFont="1" applyFill="1" applyBorder="1" applyAlignment="1">
      <alignment horizontal="center" vertical="center"/>
    </xf>
    <xf numFmtId="164" fontId="8" fillId="0" borderId="39" xfId="2" applyNumberFormat="1" applyFont="1" applyFill="1" applyBorder="1" applyAlignment="1">
      <alignment horizontal="center" vertical="center"/>
    </xf>
    <xf numFmtId="164" fontId="8" fillId="0" borderId="39" xfId="3" applyFont="1" applyFill="1" applyBorder="1" applyAlignment="1">
      <alignment horizontal="center" vertical="center"/>
    </xf>
    <xf numFmtId="164" fontId="8" fillId="0" borderId="7" xfId="0" applyNumberFormat="1" applyFont="1" applyFill="1" applyBorder="1" applyAlignment="1">
      <alignment horizontal="center" vertical="center"/>
    </xf>
    <xf numFmtId="164" fontId="9" fillId="0" borderId="7" xfId="0" applyNumberFormat="1" applyFont="1" applyFill="1" applyBorder="1" applyAlignment="1">
      <alignment horizontal="center" vertical="center"/>
    </xf>
    <xf numFmtId="164" fontId="8" fillId="0" borderId="7" xfId="1" applyFont="1" applyFill="1" applyBorder="1" applyAlignment="1">
      <alignment horizontal="center" vertical="center"/>
    </xf>
    <xf numFmtId="0" fontId="5" fillId="0" borderId="7" xfId="0" applyFont="1" applyFill="1" applyBorder="1" applyAlignment="1">
      <alignment vertical="center" wrapText="1"/>
    </xf>
    <xf numFmtId="0" fontId="8" fillId="0" borderId="7" xfId="0" applyFont="1" applyFill="1" applyBorder="1" applyAlignment="1">
      <alignment horizontal="center" vertical="center"/>
    </xf>
    <xf numFmtId="164" fontId="5" fillId="0" borderId="7" xfId="0" applyNumberFormat="1" applyFont="1" applyFill="1" applyBorder="1" applyAlignment="1">
      <alignment vertical="center"/>
    </xf>
    <xf numFmtId="0" fontId="20" fillId="0" borderId="27" xfId="0" applyFont="1" applyFill="1" applyBorder="1" applyAlignment="1">
      <alignment horizontal="left" vertical="top"/>
    </xf>
    <xf numFmtId="0" fontId="20" fillId="0" borderId="20" xfId="0" applyFont="1" applyFill="1" applyBorder="1" applyAlignment="1">
      <alignment horizontal="left" vertical="top"/>
    </xf>
    <xf numFmtId="0" fontId="20" fillId="0" borderId="40" xfId="0" applyFont="1" applyFill="1" applyBorder="1" applyAlignment="1">
      <alignment horizontal="center" vertical="center" wrapText="1" shrinkToFit="1"/>
    </xf>
    <xf numFmtId="0" fontId="20" fillId="0" borderId="41" xfId="0" applyFont="1" applyFill="1" applyBorder="1" applyAlignment="1">
      <alignment horizontal="center" vertical="center" wrapText="1" shrinkToFit="1"/>
    </xf>
    <xf numFmtId="2" fontId="20" fillId="0" borderId="41" xfId="0" applyNumberFormat="1" applyFont="1" applyFill="1" applyBorder="1" applyAlignment="1">
      <alignment horizontal="center" vertical="center" shrinkToFit="1"/>
    </xf>
    <xf numFmtId="0" fontId="20" fillId="0" borderId="42" xfId="0" applyFont="1" applyFill="1" applyBorder="1" applyAlignment="1">
      <alignment horizontal="center" vertical="center" wrapText="1" shrinkToFit="1"/>
    </xf>
    <xf numFmtId="0" fontId="18" fillId="0" borderId="0" xfId="0" applyFont="1" applyFill="1"/>
    <xf numFmtId="0" fontId="20" fillId="0" borderId="43" xfId="0" applyFont="1" applyFill="1" applyBorder="1" applyAlignment="1">
      <alignment horizontal="center" vertical="center" wrapText="1" shrinkToFit="1"/>
    </xf>
    <xf numFmtId="0" fontId="20" fillId="0" borderId="44" xfId="0" applyFont="1" applyFill="1" applyBorder="1" applyAlignment="1">
      <alignment horizontal="center" vertical="center" wrapText="1" shrinkToFit="1"/>
    </xf>
    <xf numFmtId="2" fontId="20" fillId="0" borderId="44" xfId="0" applyNumberFormat="1" applyFont="1" applyFill="1" applyBorder="1" applyAlignment="1">
      <alignment horizontal="center" vertical="center" shrinkToFit="1"/>
    </xf>
    <xf numFmtId="0" fontId="20" fillId="0" borderId="44" xfId="0" applyFont="1" applyFill="1" applyBorder="1" applyAlignment="1">
      <alignment horizontal="center" vertical="center" wrapText="1"/>
    </xf>
    <xf numFmtId="0" fontId="20" fillId="0" borderId="45" xfId="0" applyFont="1" applyFill="1" applyBorder="1" applyAlignment="1">
      <alignment horizontal="center" vertical="center" wrapText="1" shrinkToFit="1"/>
    </xf>
    <xf numFmtId="0" fontId="18" fillId="0" borderId="46" xfId="0" applyFont="1" applyFill="1" applyBorder="1" applyAlignment="1">
      <alignment horizontal="center"/>
    </xf>
    <xf numFmtId="0" fontId="18" fillId="0" borderId="47" xfId="0" applyFont="1" applyFill="1" applyBorder="1" applyAlignment="1">
      <alignment horizontal="left" vertical="center" wrapText="1"/>
    </xf>
    <xf numFmtId="2" fontId="18" fillId="0" borderId="47" xfId="0" applyNumberFormat="1" applyFont="1" applyFill="1" applyBorder="1" applyAlignment="1">
      <alignment horizontal="center" shrinkToFit="1"/>
    </xf>
    <xf numFmtId="1" fontId="18" fillId="7" borderId="48" xfId="0" applyNumberFormat="1" applyFont="1" applyFill="1" applyBorder="1" applyAlignment="1">
      <alignment horizontal="right"/>
    </xf>
    <xf numFmtId="0" fontId="18" fillId="0" borderId="6" xfId="0" applyFont="1" applyFill="1" applyBorder="1" applyAlignment="1">
      <alignment horizontal="center" vertical="top" wrapText="1" shrinkToFit="1"/>
    </xf>
    <xf numFmtId="0" fontId="18" fillId="0" borderId="7" xfId="0" applyFont="1" applyFill="1" applyBorder="1" applyAlignment="1">
      <alignment horizontal="left" vertical="center" wrapText="1" shrinkToFit="1"/>
    </xf>
    <xf numFmtId="0" fontId="18" fillId="0" borderId="7" xfId="0" applyFont="1" applyFill="1" applyBorder="1" applyAlignment="1">
      <alignment horizontal="center" vertical="top" wrapText="1" shrinkToFit="1"/>
    </xf>
    <xf numFmtId="2" fontId="21" fillId="2" borderId="7" xfId="0" applyNumberFormat="1" applyFont="1" applyFill="1" applyBorder="1" applyAlignment="1">
      <alignment horizontal="right" vertical="center"/>
    </xf>
    <xf numFmtId="0" fontId="18" fillId="0" borderId="8" xfId="0" applyFont="1" applyFill="1" applyBorder="1"/>
    <xf numFmtId="0" fontId="18" fillId="0" borderId="49" xfId="0" applyFont="1" applyFill="1" applyBorder="1" applyAlignment="1">
      <alignment horizontal="center"/>
    </xf>
    <xf numFmtId="0" fontId="18" fillId="0" borderId="34" xfId="0" applyFont="1" applyFill="1" applyBorder="1"/>
    <xf numFmtId="2" fontId="18" fillId="0" borderId="34" xfId="0" applyNumberFormat="1" applyFont="1" applyFill="1" applyBorder="1" applyAlignment="1">
      <alignment horizontal="center" shrinkToFit="1"/>
    </xf>
    <xf numFmtId="1" fontId="18" fillId="7" borderId="50" xfId="0" applyNumberFormat="1" applyFont="1" applyFill="1" applyBorder="1" applyAlignment="1"/>
    <xf numFmtId="1" fontId="18" fillId="0" borderId="6" xfId="0" applyNumberFormat="1" applyFont="1" applyFill="1" applyBorder="1" applyAlignment="1">
      <alignment horizontal="center"/>
    </xf>
    <xf numFmtId="0" fontId="18" fillId="0" borderId="51" xfId="0" applyFont="1" applyFill="1" applyBorder="1" applyAlignment="1">
      <alignment horizontal="center"/>
    </xf>
    <xf numFmtId="0" fontId="18" fillId="0" borderId="52" xfId="0" applyFont="1" applyFill="1" applyBorder="1" applyAlignment="1">
      <alignment horizontal="left" wrapText="1" shrinkToFit="1"/>
    </xf>
    <xf numFmtId="2" fontId="18" fillId="0" borderId="52" xfId="0" applyNumberFormat="1" applyFont="1" applyFill="1" applyBorder="1" applyAlignment="1">
      <alignment horizontal="center" shrinkToFit="1"/>
    </xf>
    <xf numFmtId="1" fontId="18" fillId="7" borderId="53" xfId="0" applyNumberFormat="1" applyFont="1" applyFill="1" applyBorder="1" applyAlignment="1"/>
    <xf numFmtId="0" fontId="18" fillId="0" borderId="7" xfId="0" applyFont="1" applyFill="1" applyBorder="1" applyAlignment="1">
      <alignment horizontal="center" vertical="top"/>
    </xf>
    <xf numFmtId="2" fontId="21" fillId="2" borderId="7" xfId="0" applyNumberFormat="1" applyFont="1" applyFill="1" applyBorder="1" applyAlignment="1">
      <alignment horizontal="right" vertical="center" wrapText="1"/>
    </xf>
    <xf numFmtId="0" fontId="18" fillId="0" borderId="54" xfId="0" applyFont="1" applyFill="1" applyBorder="1" applyAlignment="1">
      <alignment horizontal="center"/>
    </xf>
    <xf numFmtId="0" fontId="18" fillId="0" borderId="55" xfId="0" applyFont="1" applyFill="1" applyBorder="1" applyAlignment="1">
      <alignment horizontal="left" vertical="top" wrapText="1" shrinkToFit="1"/>
    </xf>
    <xf numFmtId="0" fontId="18" fillId="0" borderId="55" xfId="0" applyFont="1" applyFill="1" applyBorder="1" applyAlignment="1">
      <alignment horizontal="center"/>
    </xf>
    <xf numFmtId="0" fontId="18" fillId="7" borderId="56" xfId="0" applyFont="1" applyFill="1" applyBorder="1" applyAlignment="1">
      <alignment horizontal="right"/>
    </xf>
    <xf numFmtId="2" fontId="18" fillId="0" borderId="0" xfId="0" applyNumberFormat="1" applyFont="1" applyFill="1" applyBorder="1" applyAlignment="1">
      <alignment horizontal="center" shrinkToFit="1"/>
    </xf>
    <xf numFmtId="0" fontId="18" fillId="0" borderId="0" xfId="0" applyFont="1" applyFill="1" applyBorder="1" applyAlignment="1">
      <alignment horizontal="center"/>
    </xf>
    <xf numFmtId="0" fontId="18" fillId="0" borderId="0" xfId="0" applyFont="1" applyFill="1" applyBorder="1" applyAlignment="1">
      <alignment horizontal="center" vertical="top" wrapText="1" shrinkToFit="1"/>
    </xf>
    <xf numFmtId="0" fontId="18" fillId="0" borderId="7" xfId="0" applyFont="1" applyFill="1" applyBorder="1" applyAlignment="1">
      <alignment horizontal="left" vertical="center" shrinkToFit="1"/>
    </xf>
    <xf numFmtId="0" fontId="18" fillId="0" borderId="6" xfId="0" applyFont="1" applyFill="1" applyBorder="1" applyAlignment="1">
      <alignment horizontal="center" vertical="center"/>
    </xf>
    <xf numFmtId="0" fontId="18" fillId="0" borderId="7" xfId="0" applyFont="1" applyFill="1" applyBorder="1" applyAlignment="1">
      <alignment horizontal="left" vertical="center"/>
    </xf>
    <xf numFmtId="0" fontId="18" fillId="0" borderId="57" xfId="0" applyFont="1" applyFill="1" applyBorder="1" applyAlignment="1">
      <alignment horizontal="center"/>
    </xf>
    <xf numFmtId="0" fontId="18" fillId="0" borderId="58" xfId="0" applyFont="1" applyFill="1" applyBorder="1" applyAlignment="1">
      <alignment horizontal="left" vertical="center" wrapText="1"/>
    </xf>
    <xf numFmtId="2" fontId="18" fillId="0" borderId="58" xfId="0" applyNumberFormat="1" applyFont="1" applyFill="1" applyBorder="1" applyAlignment="1">
      <alignment horizontal="center"/>
    </xf>
    <xf numFmtId="2" fontId="18" fillId="8" borderId="45" xfId="0" applyNumberFormat="1" applyFont="1" applyFill="1" applyBorder="1" applyAlignment="1">
      <alignment horizontal="right"/>
    </xf>
    <xf numFmtId="2" fontId="18" fillId="0" borderId="0" xfId="0" applyNumberFormat="1" applyFont="1" applyFill="1" applyBorder="1" applyAlignment="1">
      <alignment horizontal="right"/>
    </xf>
    <xf numFmtId="2" fontId="18" fillId="2" borderId="7" xfId="0" applyNumberFormat="1" applyFont="1" applyFill="1" applyBorder="1" applyAlignment="1">
      <alignment horizontal="right" vertical="center"/>
    </xf>
    <xf numFmtId="0" fontId="18" fillId="0" borderId="54" xfId="0" applyFont="1" applyFill="1" applyBorder="1" applyAlignment="1">
      <alignment horizontal="center" vertical="center"/>
    </xf>
    <xf numFmtId="0" fontId="18" fillId="0" borderId="55" xfId="0" applyFont="1" applyFill="1" applyBorder="1" applyAlignment="1">
      <alignment horizontal="left" vertical="center" wrapText="1" shrinkToFit="1"/>
    </xf>
    <xf numFmtId="0" fontId="18" fillId="0" borderId="55" xfId="0" applyFont="1" applyFill="1" applyBorder="1" applyAlignment="1">
      <alignment horizontal="center" vertical="center" wrapText="1" shrinkToFit="1"/>
    </xf>
    <xf numFmtId="2" fontId="18" fillId="8" borderId="23" xfId="0" applyNumberFormat="1" applyFont="1" applyFill="1" applyBorder="1" applyAlignment="1">
      <alignment horizontal="right"/>
    </xf>
    <xf numFmtId="0" fontId="18" fillId="0" borderId="6" xfId="0" applyFont="1" applyFill="1" applyBorder="1" applyAlignment="1">
      <alignment horizontal="center"/>
    </xf>
    <xf numFmtId="169" fontId="18" fillId="0" borderId="0" xfId="0" applyNumberFormat="1" applyFont="1" applyFill="1"/>
    <xf numFmtId="2" fontId="18" fillId="0" borderId="0" xfId="0" applyNumberFormat="1" applyFont="1" applyFill="1" applyBorder="1" applyAlignment="1">
      <alignment horizontal="right" vertical="center" wrapText="1" shrinkToFit="1"/>
    </xf>
    <xf numFmtId="0" fontId="18" fillId="0" borderId="0" xfId="0" applyFont="1" applyFill="1" applyBorder="1" applyAlignment="1">
      <alignment horizontal="left" vertical="top" wrapText="1" shrinkToFit="1"/>
    </xf>
    <xf numFmtId="2" fontId="18" fillId="0" borderId="0" xfId="0" applyNumberFormat="1" applyFont="1" applyFill="1" applyBorder="1" applyAlignment="1">
      <alignment horizontal="right" vertical="top" wrapText="1" shrinkToFit="1"/>
    </xf>
    <xf numFmtId="0" fontId="20" fillId="0" borderId="59" xfId="0" applyFont="1" applyFill="1" applyBorder="1" applyAlignment="1">
      <alignment horizontal="left"/>
    </xf>
    <xf numFmtId="0" fontId="20" fillId="0" borderId="60" xfId="0" applyFont="1" applyFill="1" applyBorder="1" applyAlignment="1">
      <alignment horizontal="left"/>
    </xf>
    <xf numFmtId="0" fontId="20" fillId="0" borderId="61" xfId="0" applyFont="1" applyFill="1" applyBorder="1" applyAlignment="1">
      <alignment horizontal="left"/>
    </xf>
    <xf numFmtId="0" fontId="20" fillId="0" borderId="9" xfId="0" applyFont="1" applyFill="1" applyBorder="1" applyAlignment="1">
      <alignment horizontal="left"/>
    </xf>
    <xf numFmtId="0" fontId="18" fillId="0" borderId="7" xfId="0" applyFont="1" applyFill="1" applyBorder="1"/>
    <xf numFmtId="0" fontId="18" fillId="2" borderId="7" xfId="0" applyFont="1" applyFill="1" applyBorder="1"/>
    <xf numFmtId="0" fontId="18" fillId="0" borderId="34" xfId="0" applyFont="1" applyFill="1" applyBorder="1" applyAlignment="1">
      <alignment vertical="top" wrapText="1" shrinkToFit="1"/>
    </xf>
    <xf numFmtId="0" fontId="18" fillId="0" borderId="34" xfId="0" applyFont="1" applyFill="1" applyBorder="1" applyAlignment="1">
      <alignment horizontal="center" vertical="top" wrapText="1" shrinkToFit="1"/>
    </xf>
    <xf numFmtId="2" fontId="18" fillId="0" borderId="50" xfId="0" applyNumberFormat="1" applyFont="1" applyFill="1" applyBorder="1" applyAlignment="1"/>
    <xf numFmtId="2" fontId="18" fillId="0" borderId="9" xfId="0" applyNumberFormat="1" applyFont="1" applyFill="1" applyBorder="1" applyAlignment="1">
      <alignment horizontal="right"/>
    </xf>
    <xf numFmtId="2" fontId="18" fillId="0" borderId="7" xfId="0" applyNumberFormat="1" applyFont="1" applyFill="1" applyBorder="1" applyAlignment="1">
      <alignment horizontal="right" vertical="center"/>
    </xf>
    <xf numFmtId="2" fontId="18" fillId="9" borderId="50" xfId="0" applyNumberFormat="1" applyFont="1" applyFill="1" applyBorder="1" applyAlignment="1"/>
    <xf numFmtId="1" fontId="21" fillId="2" borderId="7" xfId="0" applyNumberFormat="1" applyFont="1" applyFill="1" applyBorder="1" applyAlignment="1">
      <alignment horizontal="right" vertical="center"/>
    </xf>
    <xf numFmtId="0" fontId="18" fillId="0" borderId="34" xfId="0" applyFont="1" applyFill="1" applyBorder="1" applyAlignment="1">
      <alignment vertical="top"/>
    </xf>
    <xf numFmtId="0" fontId="18" fillId="0" borderId="7" xfId="0" applyFont="1" applyFill="1" applyBorder="1" applyAlignment="1">
      <alignment horizontal="center" vertical="center" wrapText="1" shrinkToFit="1"/>
    </xf>
    <xf numFmtId="0" fontId="18" fillId="0" borderId="49" xfId="0" applyFont="1" applyFill="1" applyBorder="1" applyAlignment="1">
      <alignment horizontal="center" vertical="top"/>
    </xf>
    <xf numFmtId="0" fontId="18" fillId="0" borderId="7" xfId="0" applyFont="1" applyFill="1" applyBorder="1" applyAlignment="1">
      <alignment horizontal="center"/>
    </xf>
    <xf numFmtId="0" fontId="18" fillId="0" borderId="34" xfId="0" applyFont="1" applyFill="1" applyBorder="1" applyAlignment="1">
      <alignment horizontal="center" vertical="center"/>
    </xf>
    <xf numFmtId="2" fontId="18" fillId="0" borderId="7" xfId="0" applyNumberFormat="1" applyFont="1" applyFill="1" applyBorder="1" applyAlignment="1">
      <alignment horizontal="left" vertical="center"/>
    </xf>
    <xf numFmtId="0" fontId="18" fillId="0" borderId="34" xfId="0" applyFont="1" applyFill="1" applyBorder="1" applyAlignment="1"/>
    <xf numFmtId="0" fontId="18" fillId="0" borderId="34" xfId="0" applyFont="1" applyFill="1" applyBorder="1" applyAlignment="1">
      <alignment horizontal="center"/>
    </xf>
    <xf numFmtId="0" fontId="18" fillId="0" borderId="34" xfId="0" applyFont="1" applyFill="1" applyBorder="1" applyAlignment="1">
      <alignment horizontal="left" vertical="center" wrapText="1" shrinkToFit="1"/>
    </xf>
    <xf numFmtId="2" fontId="18" fillId="0" borderId="65" xfId="0" applyNumberFormat="1" applyFont="1" applyFill="1" applyBorder="1" applyAlignment="1">
      <alignment horizontal="right"/>
    </xf>
    <xf numFmtId="2" fontId="18" fillId="9" borderId="50" xfId="0" applyNumberFormat="1" applyFont="1" applyFill="1" applyBorder="1" applyAlignment="1">
      <alignment vertical="center"/>
    </xf>
    <xf numFmtId="2" fontId="18" fillId="0" borderId="67" xfId="0" applyNumberFormat="1" applyFont="1" applyFill="1" applyBorder="1" applyAlignment="1">
      <alignment horizontal="right" vertical="center"/>
    </xf>
    <xf numFmtId="0" fontId="22" fillId="0" borderId="34" xfId="0" applyFont="1" applyFill="1" applyBorder="1" applyAlignment="1">
      <alignment horizontal="left" vertical="center" wrapText="1" shrinkToFit="1"/>
    </xf>
    <xf numFmtId="2" fontId="18" fillId="0" borderId="0" xfId="0" applyNumberFormat="1" applyFont="1" applyFill="1" applyBorder="1" applyAlignment="1">
      <alignment horizontal="right" vertical="center"/>
    </xf>
    <xf numFmtId="0" fontId="18" fillId="0" borderId="9" xfId="0" applyFont="1" applyFill="1" applyBorder="1"/>
    <xf numFmtId="0" fontId="22" fillId="0" borderId="34" xfId="0" applyFont="1" applyFill="1" applyBorder="1" applyAlignment="1">
      <alignment horizontal="left" vertical="center" wrapText="1"/>
    </xf>
    <xf numFmtId="2" fontId="18" fillId="9" borderId="53" xfId="0" applyNumberFormat="1" applyFont="1" applyFill="1" applyBorder="1" applyAlignment="1"/>
    <xf numFmtId="0" fontId="18" fillId="0" borderId="34" xfId="0" applyFont="1" applyFill="1" applyBorder="1" applyAlignment="1">
      <alignment horizontal="left"/>
    </xf>
    <xf numFmtId="0" fontId="18" fillId="0" borderId="68" xfId="0" applyFont="1" applyFill="1" applyBorder="1" applyAlignment="1">
      <alignment horizontal="center"/>
    </xf>
    <xf numFmtId="2" fontId="18" fillId="0" borderId="50" xfId="0" applyNumberFormat="1" applyFont="1" applyFill="1" applyBorder="1" applyAlignment="1">
      <alignment vertical="center"/>
    </xf>
    <xf numFmtId="0" fontId="18" fillId="0" borderId="68" xfId="0" applyFont="1" applyFill="1" applyBorder="1" applyAlignment="1">
      <alignment horizontal="center" vertical="center"/>
    </xf>
    <xf numFmtId="0" fontId="22" fillId="0" borderId="7" xfId="0" applyFont="1" applyFill="1" applyBorder="1" applyAlignment="1">
      <alignment horizontal="center" vertical="center" shrinkToFit="1"/>
    </xf>
    <xf numFmtId="2" fontId="22" fillId="0" borderId="7" xfId="0" applyNumberFormat="1" applyFont="1" applyFill="1" applyBorder="1" applyAlignment="1">
      <alignment horizontal="center" vertical="center" shrinkToFit="1"/>
    </xf>
    <xf numFmtId="0" fontId="18" fillId="0" borderId="34" xfId="0" applyFont="1" applyFill="1" applyBorder="1" applyAlignment="1">
      <alignment horizontal="left" vertical="top"/>
    </xf>
    <xf numFmtId="0" fontId="18" fillId="0" borderId="7" xfId="0" applyFont="1" applyFill="1" applyBorder="1" applyAlignment="1">
      <alignment horizontal="center" vertical="center"/>
    </xf>
    <xf numFmtId="2" fontId="18" fillId="0" borderId="53" xfId="0" applyNumberFormat="1" applyFont="1" applyFill="1" applyBorder="1" applyAlignment="1">
      <alignment vertical="center"/>
    </xf>
    <xf numFmtId="0" fontId="21" fillId="2" borderId="7" xfId="0" applyFont="1" applyFill="1" applyBorder="1"/>
    <xf numFmtId="0" fontId="18" fillId="9" borderId="34" xfId="0" applyFont="1" applyFill="1" applyBorder="1"/>
    <xf numFmtId="0" fontId="18" fillId="9" borderId="8" xfId="0" applyFont="1" applyFill="1" applyBorder="1"/>
    <xf numFmtId="0" fontId="24" fillId="0" borderId="55" xfId="0" applyFont="1" applyFill="1" applyBorder="1"/>
    <xf numFmtId="0" fontId="18" fillId="0" borderId="0" xfId="0" applyFont="1" applyFill="1" applyBorder="1"/>
    <xf numFmtId="0" fontId="18" fillId="0" borderId="0" xfId="0" applyFont="1" applyBorder="1"/>
    <xf numFmtId="1" fontId="18" fillId="0" borderId="6" xfId="0" applyNumberFormat="1" applyFont="1" applyFill="1" applyBorder="1" applyAlignment="1">
      <alignment horizontal="center" vertical="center"/>
    </xf>
    <xf numFmtId="0" fontId="18" fillId="0" borderId="7" xfId="0" applyFont="1" applyFill="1" applyBorder="1" applyAlignment="1">
      <alignment horizontal="left"/>
    </xf>
    <xf numFmtId="2" fontId="18" fillId="0" borderId="7" xfId="0" applyNumberFormat="1" applyFont="1" applyFill="1" applyBorder="1" applyAlignment="1">
      <alignment horizontal="center" vertical="center"/>
    </xf>
    <xf numFmtId="0" fontId="21" fillId="2" borderId="7" xfId="0" applyFont="1" applyFill="1" applyBorder="1" applyAlignment="1">
      <alignment horizontal="right" vertical="top" wrapText="1" shrinkToFit="1"/>
    </xf>
    <xf numFmtId="0" fontId="18" fillId="0" borderId="0" xfId="0" applyFont="1"/>
    <xf numFmtId="0" fontId="18" fillId="0" borderId="24" xfId="0" applyFont="1" applyFill="1" applyBorder="1"/>
    <xf numFmtId="0" fontId="18" fillId="0" borderId="22" xfId="0" applyFont="1" applyFill="1" applyBorder="1"/>
    <xf numFmtId="0" fontId="18" fillId="0" borderId="22" xfId="0" applyFont="1" applyFill="1" applyBorder="1" applyAlignment="1">
      <alignment horizontal="center" vertical="center"/>
    </xf>
    <xf numFmtId="0" fontId="21" fillId="0" borderId="22" xfId="0" applyFont="1" applyFill="1" applyBorder="1"/>
    <xf numFmtId="0" fontId="20" fillId="0" borderId="62" xfId="0" applyFont="1" applyFill="1" applyBorder="1" applyAlignment="1">
      <alignment horizontal="left"/>
    </xf>
    <xf numFmtId="0" fontId="18" fillId="0" borderId="7" xfId="0" applyFont="1" applyFill="1" applyBorder="1" applyAlignment="1">
      <alignment horizontal="left" vertical="top" wrapText="1" shrinkToFit="1"/>
    </xf>
    <xf numFmtId="0" fontId="8" fillId="0" borderId="18" xfId="2" applyFont="1" applyFill="1" applyBorder="1" applyAlignment="1">
      <alignment horizontal="center" vertical="center" wrapText="1"/>
    </xf>
    <xf numFmtId="0" fontId="8" fillId="0" borderId="39" xfId="2" applyFont="1" applyFill="1" applyBorder="1" applyAlignment="1">
      <alignment horizontal="center" vertical="center" wrapText="1"/>
    </xf>
    <xf numFmtId="0" fontId="11" fillId="0" borderId="0" xfId="0" applyFont="1" applyAlignment="1">
      <alignment horizontal="center" vertical="center"/>
    </xf>
    <xf numFmtId="0" fontId="5" fillId="0" borderId="7" xfId="0" applyFont="1" applyBorder="1" applyAlignment="1">
      <alignment horizontal="center" vertical="center"/>
    </xf>
    <xf numFmtId="0" fontId="9" fillId="0" borderId="7" xfId="0" applyFont="1" applyBorder="1" applyAlignment="1">
      <alignment horizontal="center" vertical="center"/>
    </xf>
    <xf numFmtId="164" fontId="12" fillId="0" borderId="7" xfId="1" applyFont="1" applyBorder="1" applyAlignment="1">
      <alignment horizontal="center" vertical="center"/>
    </xf>
    <xf numFmtId="0" fontId="11" fillId="0" borderId="69" xfId="0" applyFont="1" applyBorder="1" applyAlignment="1">
      <alignment horizontal="center" vertical="center"/>
    </xf>
    <xf numFmtId="0" fontId="11" fillId="0" borderId="69" xfId="0" applyFont="1" applyBorder="1" applyAlignment="1">
      <alignment vertical="center" wrapText="1"/>
    </xf>
    <xf numFmtId="0" fontId="11" fillId="0" borderId="69" xfId="0" applyFont="1" applyBorder="1" applyAlignment="1">
      <alignment vertical="center"/>
    </xf>
    <xf numFmtId="0" fontId="11" fillId="0" borderId="69" xfId="0" applyNumberFormat="1" applyFont="1" applyBorder="1" applyAlignment="1">
      <alignment vertical="center" wrapText="1"/>
    </xf>
    <xf numFmtId="164" fontId="11" fillId="0" borderId="69" xfId="0" applyNumberFormat="1" applyFont="1" applyBorder="1" applyAlignment="1">
      <alignment vertical="center"/>
    </xf>
    <xf numFmtId="0" fontId="11" fillId="0" borderId="70" xfId="0" applyFont="1" applyBorder="1" applyAlignment="1">
      <alignment horizontal="center" vertical="center"/>
    </xf>
    <xf numFmtId="0" fontId="11" fillId="0" borderId="70" xfId="0" applyFont="1" applyBorder="1" applyAlignment="1">
      <alignment vertical="center" wrapText="1"/>
    </xf>
    <xf numFmtId="0" fontId="11" fillId="0" borderId="70" xfId="0" applyFont="1" applyBorder="1" applyAlignment="1">
      <alignment vertical="center"/>
    </xf>
    <xf numFmtId="0" fontId="11" fillId="0" borderId="71" xfId="0" applyFont="1" applyBorder="1" applyAlignment="1">
      <alignment horizontal="center" vertical="center"/>
    </xf>
    <xf numFmtId="0" fontId="11" fillId="0" borderId="71" xfId="0" applyFont="1" applyBorder="1" applyAlignment="1">
      <alignment vertical="center" wrapText="1"/>
    </xf>
    <xf numFmtId="0" fontId="11" fillId="0" borderId="71" xfId="0" applyFont="1" applyBorder="1" applyAlignment="1">
      <alignment vertical="center"/>
    </xf>
    <xf numFmtId="0" fontId="25" fillId="0" borderId="0" xfId="0" applyFont="1" applyAlignment="1">
      <alignment horizontal="center" vertical="center"/>
    </xf>
    <xf numFmtId="0" fontId="25" fillId="0" borderId="0" xfId="0" applyFont="1" applyAlignment="1">
      <alignment vertical="center"/>
    </xf>
    <xf numFmtId="164" fontId="25" fillId="0" borderId="0" xfId="1" applyFont="1" applyAlignment="1">
      <alignment vertical="center"/>
    </xf>
    <xf numFmtId="164" fontId="11" fillId="0" borderId="71" xfId="1" applyFont="1" applyBorder="1" applyAlignment="1">
      <alignment horizontal="right" vertical="center"/>
    </xf>
    <xf numFmtId="164" fontId="11" fillId="0" borderId="69" xfId="1" applyFont="1" applyBorder="1" applyAlignment="1">
      <alignment horizontal="right" vertical="center"/>
    </xf>
    <xf numFmtId="164" fontId="11" fillId="0" borderId="70" xfId="1" applyFont="1" applyBorder="1" applyAlignment="1">
      <alignment horizontal="right" vertical="center"/>
    </xf>
    <xf numFmtId="0" fontId="5" fillId="0" borderId="0" xfId="0" applyFont="1" applyFill="1" applyAlignment="1">
      <alignment vertical="center"/>
    </xf>
    <xf numFmtId="0" fontId="8" fillId="0" borderId="0" xfId="4" applyFont="1" applyFill="1" applyAlignment="1">
      <alignment vertical="center"/>
    </xf>
    <xf numFmtId="0" fontId="5" fillId="3" borderId="0" xfId="0" applyFont="1" applyFill="1" applyAlignment="1">
      <alignment vertical="center"/>
    </xf>
    <xf numFmtId="0" fontId="5" fillId="0" borderId="7" xfId="0" applyFont="1" applyFill="1" applyBorder="1" applyAlignment="1">
      <alignment vertical="center"/>
    </xf>
    <xf numFmtId="0" fontId="5" fillId="2" borderId="7" xfId="0" applyFont="1" applyFill="1" applyBorder="1" applyAlignment="1">
      <alignment vertical="center"/>
    </xf>
    <xf numFmtId="0" fontId="5" fillId="2" borderId="0" xfId="0" applyFont="1" applyFill="1" applyAlignment="1">
      <alignment vertical="center"/>
    </xf>
    <xf numFmtId="164" fontId="5" fillId="0" borderId="0" xfId="0" applyNumberFormat="1" applyFont="1" applyFill="1" applyBorder="1" applyAlignment="1">
      <alignment vertical="center"/>
    </xf>
    <xf numFmtId="164" fontId="5" fillId="0" borderId="0" xfId="1" applyFont="1" applyFill="1" applyBorder="1" applyAlignment="1">
      <alignment vertical="center"/>
    </xf>
    <xf numFmtId="0" fontId="4" fillId="0" borderId="12" xfId="0" applyFont="1" applyBorder="1" applyAlignment="1">
      <alignment horizontal="center" vertical="center"/>
    </xf>
    <xf numFmtId="0" fontId="9" fillId="0" borderId="10" xfId="0" applyFont="1" applyBorder="1" applyAlignment="1">
      <alignment horizontal="center" vertical="center"/>
    </xf>
    <xf numFmtId="0" fontId="5" fillId="0" borderId="12" xfId="0" applyFont="1" applyBorder="1"/>
    <xf numFmtId="0" fontId="5" fillId="0" borderId="10" xfId="0" applyFont="1" applyBorder="1"/>
    <xf numFmtId="0" fontId="5" fillId="0" borderId="16" xfId="0" applyFont="1" applyBorder="1"/>
    <xf numFmtId="0" fontId="5" fillId="0" borderId="26" xfId="0" applyFont="1" applyBorder="1"/>
    <xf numFmtId="0" fontId="5" fillId="0" borderId="28" xfId="0" applyFont="1" applyBorder="1"/>
    <xf numFmtId="0" fontId="4" fillId="0" borderId="12" xfId="0" applyFont="1" applyBorder="1"/>
    <xf numFmtId="0" fontId="20" fillId="0" borderId="25" xfId="0" applyFont="1" applyFill="1" applyBorder="1" applyAlignment="1">
      <alignment horizontal="center" vertical="top"/>
    </xf>
    <xf numFmtId="0" fontId="18" fillId="0" borderId="8" xfId="0" applyFont="1" applyFill="1" applyBorder="1" applyAlignment="1">
      <alignment horizontal="center"/>
    </xf>
    <xf numFmtId="0" fontId="18" fillId="8" borderId="8" xfId="0" applyFont="1" applyFill="1" applyBorder="1" applyAlignment="1">
      <alignment horizontal="center"/>
    </xf>
    <xf numFmtId="0" fontId="18" fillId="8" borderId="8"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8" xfId="0" applyFont="1" applyFill="1" applyBorder="1" applyAlignment="1">
      <alignment horizontal="center" wrapText="1"/>
    </xf>
    <xf numFmtId="2" fontId="18" fillId="0" borderId="8" xfId="0" applyNumberFormat="1" applyFont="1" applyFill="1" applyBorder="1" applyAlignment="1">
      <alignment horizontal="center" vertical="center"/>
    </xf>
    <xf numFmtId="0" fontId="0" fillId="0" borderId="0" xfId="0" applyAlignment="1">
      <alignment horizontal="center"/>
    </xf>
    <xf numFmtId="0" fontId="8" fillId="0" borderId="72" xfId="2" applyFont="1" applyFill="1" applyBorder="1" applyAlignment="1">
      <alignment horizontal="center" vertical="center"/>
    </xf>
    <xf numFmtId="0" fontId="8" fillId="0" borderId="19" xfId="2" applyFont="1" applyFill="1" applyBorder="1" applyAlignment="1">
      <alignment horizontal="center" vertical="center"/>
    </xf>
    <xf numFmtId="164" fontId="8" fillId="0" borderId="19" xfId="3" applyFont="1" applyFill="1" applyBorder="1" applyAlignment="1">
      <alignment horizontal="center" vertical="center"/>
    </xf>
    <xf numFmtId="0" fontId="8" fillId="0" borderId="27" xfId="2" applyFont="1" applyFill="1" applyBorder="1" applyAlignment="1">
      <alignment horizontal="center" vertical="center"/>
    </xf>
    <xf numFmtId="164" fontId="8" fillId="0" borderId="12" xfId="3" applyFont="1" applyFill="1" applyBorder="1" applyAlignment="1">
      <alignment horizontal="center" vertical="center"/>
    </xf>
    <xf numFmtId="0" fontId="8" fillId="0" borderId="73" xfId="2" applyFont="1" applyFill="1" applyBorder="1" applyAlignment="1">
      <alignment horizontal="center" vertical="center"/>
    </xf>
    <xf numFmtId="0" fontId="9" fillId="0" borderId="7" xfId="2" applyFont="1" applyFill="1" applyBorder="1" applyAlignment="1">
      <alignment horizontal="left" vertical="center" wrapText="1"/>
    </xf>
    <xf numFmtId="0" fontId="9" fillId="0" borderId="7" xfId="2" applyFont="1" applyFill="1" applyBorder="1" applyAlignment="1">
      <alignment horizontal="center" vertical="center" wrapText="1"/>
    </xf>
    <xf numFmtId="164" fontId="9" fillId="0" borderId="7" xfId="3" applyFont="1" applyFill="1" applyBorder="1" applyAlignment="1">
      <alignment horizontal="center" vertical="center"/>
    </xf>
    <xf numFmtId="0" fontId="13" fillId="0" borderId="26" xfId="0" applyFont="1" applyBorder="1" applyAlignment="1">
      <alignment horizontal="center" vertical="center"/>
    </xf>
    <xf numFmtId="0" fontId="25" fillId="0" borderId="0" xfId="0" applyFont="1" applyAlignment="1">
      <alignment horizontal="center" vertical="center"/>
    </xf>
    <xf numFmtId="0" fontId="13" fillId="0" borderId="0" xfId="0" applyFont="1" applyAlignment="1">
      <alignment horizontal="center" vertical="center"/>
    </xf>
    <xf numFmtId="0" fontId="4" fillId="0" borderId="0" xfId="0" applyFont="1" applyFill="1" applyAlignment="1">
      <alignment horizontal="center" vertical="center"/>
    </xf>
    <xf numFmtId="0" fontId="5" fillId="0" borderId="7" xfId="0" applyFont="1" applyBorder="1" applyAlignment="1">
      <alignment horizontal="center" vertical="center"/>
    </xf>
    <xf numFmtId="0" fontId="9" fillId="0" borderId="7" xfId="0" applyFont="1" applyBorder="1" applyAlignment="1">
      <alignment horizontal="center" vertical="center"/>
    </xf>
    <xf numFmtId="0" fontId="4" fillId="0" borderId="26" xfId="0" applyFont="1" applyBorder="1" applyAlignment="1">
      <alignment horizontal="center"/>
    </xf>
    <xf numFmtId="0" fontId="4" fillId="0" borderId="7" xfId="0" applyFont="1" applyBorder="1" applyAlignment="1">
      <alignment horizontal="center" wrapText="1"/>
    </xf>
    <xf numFmtId="0" fontId="7" fillId="0" borderId="7" xfId="0" applyFont="1" applyBorder="1" applyAlignment="1">
      <alignment horizontal="left"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xf>
    <xf numFmtId="2" fontId="8" fillId="0" borderId="7" xfId="0" applyNumberFormat="1" applyFont="1" applyBorder="1" applyAlignment="1">
      <alignment horizontal="right"/>
    </xf>
    <xf numFmtId="0" fontId="8" fillId="0" borderId="7" xfId="0" applyFont="1" applyBorder="1" applyAlignment="1">
      <alignment horizontal="right" vertical="center"/>
    </xf>
    <xf numFmtId="0" fontId="9" fillId="0" borderId="7" xfId="0" applyFont="1" applyBorder="1" applyAlignment="1">
      <alignment horizontal="right" vertical="center"/>
    </xf>
    <xf numFmtId="0" fontId="7" fillId="0" borderId="27" xfId="0" applyFont="1" applyBorder="1" applyAlignment="1">
      <alignment horizontal="left" vertical="center" wrapText="1"/>
    </xf>
    <xf numFmtId="0" fontId="7" fillId="0" borderId="20" xfId="0" applyFont="1" applyBorder="1" applyAlignment="1">
      <alignment horizontal="left" vertical="center" wrapText="1"/>
    </xf>
    <xf numFmtId="0" fontId="7" fillId="0" borderId="25" xfId="0" applyFont="1" applyBorder="1" applyAlignment="1">
      <alignment horizontal="left" vertical="center" wrapText="1"/>
    </xf>
    <xf numFmtId="0" fontId="7" fillId="0" borderId="16" xfId="0" applyFont="1" applyBorder="1" applyAlignment="1">
      <alignment horizontal="left" vertical="center" wrapText="1"/>
    </xf>
    <xf numFmtId="0" fontId="7" fillId="0" borderId="26" xfId="0" applyFont="1" applyBorder="1" applyAlignment="1">
      <alignment horizontal="left" vertical="center" wrapText="1"/>
    </xf>
    <xf numFmtId="0" fontId="7" fillId="0" borderId="28" xfId="0" applyFont="1" applyBorder="1" applyAlignment="1">
      <alignment horizontal="left" vertical="center" wrapText="1"/>
    </xf>
    <xf numFmtId="0" fontId="5" fillId="0" borderId="19" xfId="0" applyFont="1" applyBorder="1" applyAlignment="1">
      <alignment horizontal="center" vertical="center" wrapText="1"/>
    </xf>
    <xf numFmtId="0" fontId="5" fillId="0" borderId="15" xfId="0" applyFont="1" applyBorder="1" applyAlignment="1">
      <alignment horizontal="center" vertical="center" wrapText="1"/>
    </xf>
    <xf numFmtId="2" fontId="8" fillId="0" borderId="6" xfId="0" applyNumberFormat="1" applyFont="1" applyBorder="1" applyAlignment="1">
      <alignment horizontal="right"/>
    </xf>
    <xf numFmtId="0" fontId="8" fillId="0" borderId="24" xfId="0" applyFont="1" applyBorder="1" applyAlignment="1">
      <alignment horizontal="right" vertical="center"/>
    </xf>
    <xf numFmtId="0" fontId="8" fillId="0" borderId="22" xfId="0" applyFont="1" applyBorder="1" applyAlignment="1">
      <alignment horizontal="right" vertical="center"/>
    </xf>
    <xf numFmtId="0" fontId="9" fillId="0" borderId="22" xfId="0" applyFont="1" applyBorder="1" applyAlignment="1">
      <alignment horizontal="right" vertical="center"/>
    </xf>
    <xf numFmtId="0" fontId="5" fillId="0" borderId="18" xfId="0" applyFont="1" applyBorder="1" applyAlignment="1">
      <alignment horizontal="center" wrapText="1"/>
    </xf>
    <xf numFmtId="0" fontId="5" fillId="0" borderId="21" xfId="0" applyFont="1" applyBorder="1" applyAlignment="1">
      <alignment horizontal="center" wrapText="1"/>
    </xf>
    <xf numFmtId="2" fontId="8" fillId="0" borderId="7" xfId="0" applyNumberFormat="1" applyFont="1" applyBorder="1" applyAlignment="1">
      <alignment horizontal="right" vertical="center"/>
    </xf>
    <xf numFmtId="0" fontId="5" fillId="0" borderId="18" xfId="0" applyFont="1" applyBorder="1" applyAlignment="1">
      <alignment horizontal="center"/>
    </xf>
    <xf numFmtId="0" fontId="5" fillId="0" borderId="29" xfId="0" applyFont="1" applyBorder="1" applyAlignment="1">
      <alignment horizontal="center"/>
    </xf>
    <xf numFmtId="0" fontId="5" fillId="0" borderId="21" xfId="0" applyFont="1" applyBorder="1" applyAlignment="1">
      <alignment horizontal="center"/>
    </xf>
    <xf numFmtId="0" fontId="5" fillId="3" borderId="7" xfId="0" applyFont="1" applyFill="1" applyBorder="1" applyAlignment="1">
      <alignment horizontal="center"/>
    </xf>
    <xf numFmtId="0" fontId="11" fillId="0" borderId="26" xfId="0" applyFont="1" applyBorder="1" applyAlignment="1">
      <alignment horizontal="center" vertical="center" wrapText="1"/>
    </xf>
    <xf numFmtId="0" fontId="12" fillId="3" borderId="7" xfId="0" applyFont="1" applyFill="1" applyBorder="1" applyAlignment="1">
      <alignment horizontal="center" vertical="center"/>
    </xf>
    <xf numFmtId="0" fontId="12" fillId="3" borderId="19"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1" fillId="3" borderId="7" xfId="0" applyFont="1" applyFill="1" applyBorder="1" applyAlignment="1">
      <alignment horizontal="center" vertical="center"/>
    </xf>
    <xf numFmtId="0" fontId="11" fillId="0" borderId="18" xfId="0" applyFont="1" applyBorder="1" applyAlignment="1">
      <alignment horizontal="center" vertical="center" wrapText="1"/>
    </xf>
    <xf numFmtId="0" fontId="11" fillId="0" borderId="21" xfId="0" applyFont="1" applyBorder="1" applyAlignment="1">
      <alignment horizontal="center" vertical="center" wrapText="1"/>
    </xf>
    <xf numFmtId="0" fontId="12" fillId="3" borderId="19" xfId="0" applyFont="1" applyFill="1" applyBorder="1" applyAlignment="1">
      <alignment horizontal="center" vertical="center"/>
    </xf>
    <xf numFmtId="0" fontId="12" fillId="3" borderId="15" xfId="0" applyFont="1" applyFill="1" applyBorder="1" applyAlignment="1">
      <alignment horizontal="center" vertical="center"/>
    </xf>
    <xf numFmtId="0" fontId="11" fillId="0" borderId="7" xfId="0" applyFont="1" applyBorder="1" applyAlignment="1">
      <alignment horizontal="center"/>
    </xf>
    <xf numFmtId="0" fontId="13" fillId="3" borderId="18" xfId="0" applyFont="1" applyFill="1" applyBorder="1" applyAlignment="1">
      <alignment horizontal="center"/>
    </xf>
    <xf numFmtId="0" fontId="13" fillId="3" borderId="21" xfId="0" applyFont="1" applyFill="1" applyBorder="1" applyAlignment="1">
      <alignment horizontal="center"/>
    </xf>
    <xf numFmtId="0" fontId="12" fillId="4" borderId="7" xfId="0" applyFont="1" applyFill="1" applyBorder="1" applyAlignment="1">
      <alignment horizontal="center" vertical="center"/>
    </xf>
    <xf numFmtId="0" fontId="18" fillId="0" borderId="30" xfId="7" applyFont="1" applyBorder="1" applyAlignment="1">
      <alignment horizontal="center" vertical="center"/>
    </xf>
    <xf numFmtId="0" fontId="18" fillId="0" borderId="33" xfId="7" applyFont="1" applyBorder="1" applyAlignment="1">
      <alignment horizontal="center" vertical="center"/>
    </xf>
    <xf numFmtId="0" fontId="18" fillId="0" borderId="31" xfId="7" applyFont="1" applyBorder="1" applyAlignment="1">
      <alignment horizontal="center" vertical="center"/>
    </xf>
    <xf numFmtId="0" fontId="18" fillId="0" borderId="32" xfId="7" applyFont="1" applyBorder="1" applyAlignment="1">
      <alignment horizontal="center" vertical="center"/>
    </xf>
    <xf numFmtId="0" fontId="18" fillId="0" borderId="0" xfId="7" applyFont="1" applyBorder="1" applyAlignment="1">
      <alignment horizontal="left" vertical="top" wrapText="1"/>
    </xf>
    <xf numFmtId="0" fontId="17" fillId="0" borderId="0" xfId="7" applyFont="1" applyBorder="1" applyAlignment="1">
      <alignment horizontal="center"/>
    </xf>
    <xf numFmtId="2" fontId="18" fillId="0" borderId="6" xfId="0" applyNumberFormat="1" applyFont="1" applyFill="1" applyBorder="1" applyAlignment="1">
      <alignment horizontal="left" vertical="center"/>
    </xf>
    <xf numFmtId="2" fontId="18" fillId="0" borderId="7" xfId="0" applyNumberFormat="1" applyFont="1" applyFill="1" applyBorder="1" applyAlignment="1">
      <alignment horizontal="left" vertical="center"/>
    </xf>
    <xf numFmtId="0" fontId="20" fillId="0" borderId="27" xfId="0" applyFont="1" applyFill="1" applyBorder="1" applyAlignment="1">
      <alignment horizontal="left" vertical="top"/>
    </xf>
    <xf numFmtId="0" fontId="20" fillId="0" borderId="20" xfId="0" applyFont="1" applyFill="1" applyBorder="1" applyAlignment="1">
      <alignment horizontal="left" vertical="top"/>
    </xf>
    <xf numFmtId="0" fontId="20" fillId="0" borderId="25" xfId="0" applyFont="1" applyFill="1" applyBorder="1" applyAlignment="1">
      <alignment horizontal="left" vertical="top"/>
    </xf>
    <xf numFmtId="0" fontId="20" fillId="0" borderId="0" xfId="0" applyFont="1" applyFill="1" applyBorder="1" applyAlignment="1">
      <alignment horizontal="left" vertical="top" wrapText="1" shrinkToFit="1"/>
    </xf>
    <xf numFmtId="0" fontId="20" fillId="0" borderId="62"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63"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64"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9" xfId="0" applyFont="1" applyFill="1" applyBorder="1" applyAlignment="1">
      <alignment horizontal="center" vertical="center" wrapText="1"/>
    </xf>
  </cellXfs>
  <cellStyles count="8">
    <cellStyle name="Comma" xfId="1" builtinId="3"/>
    <cellStyle name="Comma 10" xfId="5"/>
    <cellStyle name="Comma 4" xfId="3"/>
    <cellStyle name="Normal" xfId="0" builtinId="0"/>
    <cellStyle name="Normal 2 2 2 2" xfId="7"/>
    <cellStyle name="Normal 5" xfId="6"/>
    <cellStyle name="Normal_Basic Rate 067-068FINAL2Bardiya" xfId="4"/>
    <cellStyle name="Normal_Rate.analysis.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ffice_Rukum_East/FY_076_77/PYUTHAN_WORKS/pen_drive_E/z_previous_all/rate_analysis_reference/Rate_Analysis_from_harendra/1.%20%20Nuwakot%20%20esim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_cost"/>
      <sheetName val="Abstract "/>
      <sheetName val="Quantity "/>
      <sheetName val="Pipe culvert"/>
      <sheetName val="Slab Culvert 3"/>
      <sheetName val="Slab Culvert 6"/>
      <sheetName val="pipe cul and slab cause"/>
      <sheetName val="Final Sum.Rates"/>
      <sheetName val="Roadway Excavation"/>
      <sheetName val="RA"/>
      <sheetName val="mat. rate"/>
      <sheetName val="transpt"/>
      <sheetName val="Collect"/>
      <sheetName val="Summary (Checklist)"/>
      <sheetName val="Pavement"/>
      <sheetName val="E-W Qty Road way (HR)"/>
      <sheetName val="Qty ( Pav )"/>
      <sheetName val="E-W Qty Road way"/>
      <sheetName val="DRAIN"/>
      <sheetName val="ew qty for drain"/>
      <sheetName val="Stru Masonry Ret."/>
      <sheetName val="Stru Masonry breast"/>
      <sheetName val="PAV"/>
      <sheetName val="Stru Gabion Breast. "/>
      <sheetName val="pavement quantity"/>
      <sheetName val="Stru Gabion Ret wall"/>
      <sheetName val="RCC causeway"/>
      <sheetName val="RCC retaining"/>
      <sheetName val="x drainage detail (2)"/>
      <sheetName val="calculation sheet"/>
      <sheetName val="transp data"/>
      <sheetName val="Sheet1"/>
      <sheetName val="Pavment design"/>
      <sheetName val="Exacavation and gabion"/>
      <sheetName val="qty_pipe"/>
      <sheetName val="Slab-3-9 Qty "/>
      <sheetName val="Sheet2"/>
    </sheetNames>
    <sheetDataSet>
      <sheetData sheetId="0"/>
      <sheetData sheetId="1"/>
      <sheetData sheetId="2"/>
      <sheetData sheetId="3"/>
      <sheetData sheetId="4"/>
      <sheetData sheetId="5"/>
      <sheetData sheetId="6"/>
      <sheetData sheetId="7"/>
      <sheetData sheetId="8"/>
      <sheetData sheetId="9"/>
      <sheetData sheetId="10">
        <row r="77">
          <cell r="D77">
            <v>530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8"/>
  <sheetViews>
    <sheetView view="pageBreakPreview" zoomScaleNormal="100" zoomScaleSheetLayoutView="100" workbookViewId="0">
      <selection activeCell="J8" sqref="J8"/>
    </sheetView>
  </sheetViews>
  <sheetFormatPr defaultColWidth="8.7109375" defaultRowHeight="16.5" x14ac:dyDescent="0.25"/>
  <cols>
    <col min="1" max="1" width="6.7109375" style="315" customWidth="1"/>
    <col min="2" max="2" width="51.42578125" style="47" customWidth="1"/>
    <col min="3" max="3" width="8.28515625" style="315" customWidth="1"/>
    <col min="4" max="4" width="11" style="132" bestFit="1" customWidth="1"/>
    <col min="5" max="6" width="8.7109375" style="47"/>
    <col min="7" max="7" width="11.42578125" style="47" bestFit="1" customWidth="1"/>
    <col min="8" max="8" width="8.7109375" style="47" bestFit="1" customWidth="1"/>
    <col min="9" max="9" width="11.42578125" style="47" bestFit="1" customWidth="1"/>
    <col min="10" max="10" width="8.7109375" style="47" bestFit="1" customWidth="1"/>
    <col min="11" max="16384" width="8.7109375" style="47"/>
  </cols>
  <sheetData>
    <row r="1" spans="1:10" x14ac:dyDescent="0.25">
      <c r="A1" s="370" t="s">
        <v>470</v>
      </c>
      <c r="B1" s="370"/>
      <c r="C1" s="370"/>
      <c r="D1" s="370"/>
      <c r="E1" s="370"/>
    </row>
    <row r="2" spans="1:10" x14ac:dyDescent="0.25">
      <c r="A2" s="371" t="s">
        <v>471</v>
      </c>
      <c r="B2" s="371"/>
      <c r="C2" s="371"/>
      <c r="D2" s="371"/>
      <c r="E2" s="371"/>
    </row>
    <row r="3" spans="1:10" s="135" customFormat="1" ht="15.75" x14ac:dyDescent="0.25">
      <c r="A3" s="370" t="s">
        <v>472</v>
      </c>
      <c r="B3" s="370"/>
      <c r="C3" s="370"/>
      <c r="D3" s="370"/>
      <c r="E3" s="370"/>
    </row>
    <row r="4" spans="1:10" x14ac:dyDescent="0.25">
      <c r="A4" s="330"/>
      <c r="B4" s="331"/>
      <c r="C4" s="330"/>
      <c r="D4" s="332"/>
      <c r="E4" s="331"/>
    </row>
    <row r="5" spans="1:10" x14ac:dyDescent="0.25">
      <c r="A5" s="369" t="s">
        <v>473</v>
      </c>
      <c r="B5" s="369"/>
      <c r="C5" s="369"/>
      <c r="D5" s="369"/>
      <c r="E5" s="369"/>
    </row>
    <row r="6" spans="1:10" s="133" customFormat="1" x14ac:dyDescent="0.25">
      <c r="A6" s="134" t="s">
        <v>84</v>
      </c>
      <c r="B6" s="134" t="s">
        <v>280</v>
      </c>
      <c r="C6" s="134" t="s">
        <v>85</v>
      </c>
      <c r="D6" s="318" t="s">
        <v>104</v>
      </c>
      <c r="E6" s="134" t="s">
        <v>8</v>
      </c>
    </row>
    <row r="7" spans="1:10" ht="66" x14ac:dyDescent="0.25">
      <c r="A7" s="327">
        <v>1</v>
      </c>
      <c r="B7" s="328" t="s">
        <v>283</v>
      </c>
      <c r="C7" s="327" t="s">
        <v>92</v>
      </c>
      <c r="D7" s="333">
        <f>EARTHWORK900!P9</f>
        <v>80.86</v>
      </c>
      <c r="E7" s="329"/>
      <c r="G7" s="132"/>
      <c r="H7" s="132"/>
      <c r="I7" s="132"/>
      <c r="J7" s="132"/>
    </row>
    <row r="8" spans="1:10" ht="66" x14ac:dyDescent="0.25">
      <c r="A8" s="319">
        <v>2</v>
      </c>
      <c r="B8" s="320" t="s">
        <v>282</v>
      </c>
      <c r="C8" s="319" t="s">
        <v>92</v>
      </c>
      <c r="D8" s="334">
        <f>EARTHWORK900!P18</f>
        <v>242.6</v>
      </c>
      <c r="E8" s="321"/>
      <c r="G8" s="132"/>
      <c r="H8" s="132"/>
      <c r="I8" s="132"/>
      <c r="J8" s="132"/>
    </row>
    <row r="9" spans="1:10" ht="66" x14ac:dyDescent="0.25">
      <c r="A9" s="319">
        <v>3</v>
      </c>
      <c r="B9" s="320" t="s">
        <v>281</v>
      </c>
      <c r="C9" s="319" t="s">
        <v>92</v>
      </c>
      <c r="D9" s="334">
        <f>EARTHWORK900!P27</f>
        <v>1265.81</v>
      </c>
      <c r="E9" s="321"/>
      <c r="I9" s="132"/>
    </row>
    <row r="10" spans="1:10" ht="82.5" x14ac:dyDescent="0.25">
      <c r="A10" s="319"/>
      <c r="B10" s="320" t="s">
        <v>300</v>
      </c>
      <c r="C10" s="319" t="s">
        <v>92</v>
      </c>
      <c r="D10" s="334">
        <f>EARTHWORK900!P36</f>
        <v>121.3</v>
      </c>
      <c r="E10" s="321"/>
      <c r="G10" s="136"/>
    </row>
    <row r="11" spans="1:10" ht="82.5" x14ac:dyDescent="0.25">
      <c r="A11" s="319"/>
      <c r="B11" s="320" t="s">
        <v>301</v>
      </c>
      <c r="C11" s="319" t="s">
        <v>92</v>
      </c>
      <c r="D11" s="334">
        <f>EARTHWORK900!P45</f>
        <v>292</v>
      </c>
      <c r="E11" s="321"/>
      <c r="G11" s="136"/>
    </row>
    <row r="12" spans="1:10" ht="49.5" x14ac:dyDescent="0.25">
      <c r="A12" s="319">
        <v>4</v>
      </c>
      <c r="B12" s="320" t="s">
        <v>284</v>
      </c>
      <c r="C12" s="319" t="s">
        <v>92</v>
      </c>
      <c r="D12" s="334">
        <f>MASONRY2600!P11</f>
        <v>8281.6</v>
      </c>
      <c r="E12" s="321"/>
      <c r="G12" s="136"/>
    </row>
    <row r="13" spans="1:10" ht="49.5" x14ac:dyDescent="0.25">
      <c r="A13" s="319">
        <v>5</v>
      </c>
      <c r="B13" s="320" t="s">
        <v>285</v>
      </c>
      <c r="C13" s="319" t="s">
        <v>92</v>
      </c>
      <c r="D13" s="334">
        <f>MASONRY2600!P22</f>
        <v>8920.5499999999993</v>
      </c>
      <c r="E13" s="321"/>
      <c r="G13" s="136"/>
    </row>
    <row r="14" spans="1:10" ht="66" x14ac:dyDescent="0.25">
      <c r="A14" s="319">
        <v>6</v>
      </c>
      <c r="B14" s="320" t="s">
        <v>286</v>
      </c>
      <c r="C14" s="319" t="s">
        <v>92</v>
      </c>
      <c r="D14" s="334">
        <f>MASONRY2600!P33</f>
        <v>10101.219999999999</v>
      </c>
      <c r="E14" s="321"/>
      <c r="G14" s="136"/>
    </row>
    <row r="15" spans="1:10" ht="49.5" x14ac:dyDescent="0.25">
      <c r="A15" s="319">
        <v>7</v>
      </c>
      <c r="B15" s="320" t="s">
        <v>287</v>
      </c>
      <c r="C15" s="319" t="s">
        <v>30</v>
      </c>
      <c r="D15" s="334">
        <f>MASONRY2600!P55</f>
        <v>255.26</v>
      </c>
      <c r="E15" s="321"/>
      <c r="G15" s="136"/>
    </row>
    <row r="16" spans="1:10" ht="148.5" x14ac:dyDescent="0.25">
      <c r="A16" s="319">
        <v>8</v>
      </c>
      <c r="B16" s="322" t="s">
        <v>288</v>
      </c>
      <c r="C16" s="319" t="s">
        <v>92</v>
      </c>
      <c r="D16" s="334">
        <f>GABION2400!I37</f>
        <v>4839.8255555555552</v>
      </c>
      <c r="E16" s="321"/>
      <c r="G16" s="136"/>
    </row>
    <row r="17" spans="1:7" ht="33" x14ac:dyDescent="0.25">
      <c r="A17" s="319">
        <v>9</v>
      </c>
      <c r="B17" s="322" t="s">
        <v>159</v>
      </c>
      <c r="C17" s="319" t="s">
        <v>30</v>
      </c>
      <c r="D17" s="334">
        <f>GABION2400!P46</f>
        <v>132.94</v>
      </c>
      <c r="E17" s="321"/>
      <c r="G17" s="136"/>
    </row>
    <row r="18" spans="1:7" ht="49.5" x14ac:dyDescent="0.25">
      <c r="A18" s="319">
        <v>10</v>
      </c>
      <c r="B18" s="320" t="s">
        <v>289</v>
      </c>
      <c r="C18" s="319" t="s">
        <v>92</v>
      </c>
      <c r="D18" s="334">
        <f>CONCRETE2000!P11</f>
        <v>8565.9699999999993</v>
      </c>
      <c r="E18" s="321"/>
      <c r="G18" s="136"/>
    </row>
    <row r="19" spans="1:7" ht="49.5" x14ac:dyDescent="0.25">
      <c r="A19" s="319">
        <v>11</v>
      </c>
      <c r="B19" s="320" t="s">
        <v>290</v>
      </c>
      <c r="C19" s="319" t="s">
        <v>92</v>
      </c>
      <c r="D19" s="334">
        <f>CONCRETE2000!P24</f>
        <v>11580.41</v>
      </c>
      <c r="E19" s="321"/>
    </row>
    <row r="20" spans="1:7" ht="49.5" x14ac:dyDescent="0.25">
      <c r="A20" s="319">
        <v>12</v>
      </c>
      <c r="B20" s="320" t="s">
        <v>291</v>
      </c>
      <c r="C20" s="319" t="s">
        <v>92</v>
      </c>
      <c r="D20" s="334">
        <f>CONCRETE2000!P37</f>
        <v>13609.27</v>
      </c>
      <c r="E20" s="321"/>
    </row>
    <row r="21" spans="1:7" ht="49.5" x14ac:dyDescent="0.25">
      <c r="A21" s="319">
        <v>13</v>
      </c>
      <c r="B21" s="320" t="s">
        <v>292</v>
      </c>
      <c r="C21" s="319" t="s">
        <v>83</v>
      </c>
      <c r="D21" s="334">
        <f>CONCRETE2000!P46</f>
        <v>114728.01</v>
      </c>
      <c r="E21" s="323"/>
    </row>
    <row r="22" spans="1:7" ht="66" x14ac:dyDescent="0.25">
      <c r="A22" s="319">
        <v>14</v>
      </c>
      <c r="B22" s="320" t="s">
        <v>293</v>
      </c>
      <c r="C22" s="319" t="s">
        <v>82</v>
      </c>
      <c r="D22" s="334">
        <f>Hume_Pipes!P10</f>
        <v>8914.86</v>
      </c>
      <c r="E22" s="321"/>
    </row>
    <row r="23" spans="1:7" ht="66" x14ac:dyDescent="0.25">
      <c r="A23" s="319">
        <v>15</v>
      </c>
      <c r="B23" s="320" t="s">
        <v>294</v>
      </c>
      <c r="C23" s="319" t="s">
        <v>82</v>
      </c>
      <c r="D23" s="334">
        <f>Hume_Pipes!P20</f>
        <v>8995.56</v>
      </c>
      <c r="E23" s="321"/>
    </row>
    <row r="24" spans="1:7" ht="66" x14ac:dyDescent="0.25">
      <c r="A24" s="319">
        <v>16</v>
      </c>
      <c r="B24" s="320" t="s">
        <v>295</v>
      </c>
      <c r="C24" s="319" t="s">
        <v>82</v>
      </c>
      <c r="D24" s="334">
        <f>Hume_Pipes!P30</f>
        <v>12836.77</v>
      </c>
      <c r="E24" s="321"/>
    </row>
    <row r="25" spans="1:7" ht="66" x14ac:dyDescent="0.25">
      <c r="A25" s="319">
        <v>17</v>
      </c>
      <c r="B25" s="320" t="s">
        <v>296</v>
      </c>
      <c r="C25" s="319" t="s">
        <v>82</v>
      </c>
      <c r="D25" s="334">
        <f>Hume_Pipes!P40</f>
        <v>18436.27</v>
      </c>
      <c r="E25" s="321"/>
    </row>
    <row r="26" spans="1:7" ht="66" x14ac:dyDescent="0.25">
      <c r="A26" s="319">
        <v>18</v>
      </c>
      <c r="B26" s="320" t="s">
        <v>297</v>
      </c>
      <c r="C26" s="319" t="s">
        <v>30</v>
      </c>
      <c r="D26" s="334">
        <f>FORMWORK1800!P10</f>
        <v>715.03</v>
      </c>
      <c r="E26" s="321"/>
    </row>
    <row r="27" spans="1:7" ht="66" x14ac:dyDescent="0.25">
      <c r="A27" s="319">
        <v>19</v>
      </c>
      <c r="B27" s="320" t="s">
        <v>298</v>
      </c>
      <c r="C27" s="319" t="s">
        <v>92</v>
      </c>
      <c r="D27" s="334">
        <f>soling_gravel!P10</f>
        <v>3109.29</v>
      </c>
      <c r="E27" s="321"/>
    </row>
    <row r="28" spans="1:7" ht="33" x14ac:dyDescent="0.25">
      <c r="A28" s="324">
        <v>20</v>
      </c>
      <c r="B28" s="325" t="s">
        <v>299</v>
      </c>
      <c r="C28" s="324" t="s">
        <v>92</v>
      </c>
      <c r="D28" s="335">
        <f>soling_gravel!P21</f>
        <v>1516.16</v>
      </c>
      <c r="E28" s="326"/>
    </row>
  </sheetData>
  <mergeCells count="4">
    <mergeCell ref="A5:E5"/>
    <mergeCell ref="A1:E1"/>
    <mergeCell ref="A2:E2"/>
    <mergeCell ref="A3:E3"/>
  </mergeCells>
  <printOptions horizontalCentered="1"/>
  <pageMargins left="0.70866141732283472" right="0.70866141732283472" top="0.74803149606299213" bottom="0.74803149606299213" header="0.31496062992125984" footer="0.31496062992125984"/>
  <pageSetup orientation="portrait" r:id="rId1"/>
  <headerFooter>
    <oddFooter>&amp;LPrepared By:&amp;CChecked By:&amp;RApproved By:</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M27"/>
  <sheetViews>
    <sheetView view="pageBreakPreview" zoomScaleNormal="100" zoomScaleSheetLayoutView="100" workbookViewId="0">
      <selection activeCell="L8" sqref="L8"/>
    </sheetView>
  </sheetViews>
  <sheetFormatPr defaultColWidth="8.7109375" defaultRowHeight="16.5" x14ac:dyDescent="0.25"/>
  <cols>
    <col min="1" max="1" width="7.85546875" style="47" customWidth="1"/>
    <col min="2" max="2" width="13.7109375" style="47" customWidth="1"/>
    <col min="3" max="3" width="10.28515625" style="47" customWidth="1"/>
    <col min="4" max="4" width="15" style="47" customWidth="1"/>
    <col min="5" max="6" width="8.7109375" style="47"/>
    <col min="7" max="7" width="11.28515625" style="47" customWidth="1"/>
    <col min="8" max="8" width="15.28515625" style="47" customWidth="1"/>
    <col min="9" max="9" width="11.28515625" style="47" customWidth="1"/>
    <col min="10" max="10" width="16" style="47" customWidth="1"/>
    <col min="11" max="11" width="12.28515625" style="47" customWidth="1"/>
    <col min="12" max="12" width="17.28515625" style="47" customWidth="1"/>
    <col min="13" max="13" width="19.7109375" style="47" customWidth="1"/>
    <col min="14" max="16384" width="8.7109375" style="47"/>
  </cols>
  <sheetData>
    <row r="2" spans="1:13" x14ac:dyDescent="0.25">
      <c r="B2" s="39" t="s">
        <v>201</v>
      </c>
      <c r="C2" s="39"/>
      <c r="D2" s="39"/>
      <c r="E2" s="39" t="s">
        <v>202</v>
      </c>
      <c r="G2" s="402" t="s">
        <v>206</v>
      </c>
      <c r="H2" s="402"/>
      <c r="I2" s="402"/>
      <c r="J2" s="402"/>
    </row>
    <row r="3" spans="1:13" x14ac:dyDescent="0.3">
      <c r="B3" s="39" t="s">
        <v>194</v>
      </c>
      <c r="C3" s="39"/>
      <c r="D3" s="39"/>
      <c r="E3" s="39" t="s">
        <v>199</v>
      </c>
      <c r="G3" s="38"/>
      <c r="H3" s="38" t="s">
        <v>196</v>
      </c>
      <c r="I3" s="38" t="s">
        <v>197</v>
      </c>
      <c r="J3" s="38" t="s">
        <v>198</v>
      </c>
    </row>
    <row r="4" spans="1:13" x14ac:dyDescent="0.3">
      <c r="B4" s="39" t="s">
        <v>88</v>
      </c>
      <c r="C4" s="39"/>
      <c r="D4" s="39"/>
      <c r="E4" s="39" t="s">
        <v>90</v>
      </c>
      <c r="G4" s="38" t="s">
        <v>190</v>
      </c>
      <c r="H4" s="40">
        <v>10</v>
      </c>
      <c r="I4" s="40">
        <v>15</v>
      </c>
      <c r="J4" s="40">
        <v>20</v>
      </c>
    </row>
    <row r="5" spans="1:13" x14ac:dyDescent="0.3">
      <c r="G5" s="38" t="s">
        <v>189</v>
      </c>
      <c r="H5" s="40">
        <f>H4*1.25</f>
        <v>12.5</v>
      </c>
      <c r="I5" s="40">
        <f t="shared" ref="I5:J5" si="0">I4*1.25</f>
        <v>18.75</v>
      </c>
      <c r="J5" s="40">
        <f t="shared" si="0"/>
        <v>25</v>
      </c>
    </row>
    <row r="6" spans="1:13" x14ac:dyDescent="0.3">
      <c r="G6" s="46"/>
      <c r="H6" s="54"/>
      <c r="I6" s="54"/>
      <c r="J6" s="54"/>
    </row>
    <row r="7" spans="1:13" x14ac:dyDescent="0.3">
      <c r="A7" s="47" t="s">
        <v>210</v>
      </c>
      <c r="G7" s="46"/>
      <c r="H7" s="54"/>
      <c r="I7" s="54"/>
      <c r="J7" s="54"/>
    </row>
    <row r="8" spans="1:13" ht="49.5" x14ac:dyDescent="0.3">
      <c r="A8" s="45" t="s">
        <v>217</v>
      </c>
      <c r="B8" s="55" t="s">
        <v>218</v>
      </c>
      <c r="C8" s="55" t="s">
        <v>219</v>
      </c>
      <c r="D8" s="45" t="s">
        <v>220</v>
      </c>
      <c r="F8" s="47" t="s">
        <v>207</v>
      </c>
      <c r="J8" s="54"/>
    </row>
    <row r="9" spans="1:13" x14ac:dyDescent="0.3">
      <c r="A9" s="39" t="s">
        <v>196</v>
      </c>
      <c r="B9" s="42">
        <v>0.5</v>
      </c>
      <c r="C9" s="42">
        <v>0.4</v>
      </c>
      <c r="D9" s="42">
        <f>SUM(B9:C9)</f>
        <v>0.9</v>
      </c>
      <c r="F9" s="44" t="s">
        <v>84</v>
      </c>
      <c r="G9" s="44" t="s">
        <v>208</v>
      </c>
      <c r="H9" s="44" t="s">
        <v>209</v>
      </c>
      <c r="I9" s="44" t="s">
        <v>85</v>
      </c>
      <c r="J9" s="54"/>
      <c r="K9" s="47">
        <v>8</v>
      </c>
      <c r="L9" s="47" t="s">
        <v>235</v>
      </c>
    </row>
    <row r="10" spans="1:13" x14ac:dyDescent="0.25">
      <c r="A10" s="39" t="s">
        <v>197</v>
      </c>
      <c r="B10" s="42">
        <v>0.67</v>
      </c>
      <c r="C10" s="42">
        <v>0.53</v>
      </c>
      <c r="D10" s="42">
        <f t="shared" ref="D10:D11" si="1">SUM(B10:C10)</f>
        <v>1.2000000000000002</v>
      </c>
      <c r="F10" s="39"/>
      <c r="G10" s="39" t="s">
        <v>216</v>
      </c>
      <c r="H10" s="42">
        <v>1455.43</v>
      </c>
      <c r="I10" s="39"/>
      <c r="J10" s="136"/>
      <c r="K10" s="47">
        <v>8</v>
      </c>
      <c r="L10" s="47" t="s">
        <v>235</v>
      </c>
    </row>
    <row r="11" spans="1:13" x14ac:dyDescent="0.25">
      <c r="A11" s="39" t="s">
        <v>198</v>
      </c>
      <c r="B11" s="42">
        <v>1</v>
      </c>
      <c r="C11" s="42">
        <v>0.8</v>
      </c>
      <c r="D11" s="42">
        <f t="shared" si="1"/>
        <v>1.8</v>
      </c>
      <c r="F11" s="39"/>
      <c r="G11" s="39"/>
      <c r="H11" s="53"/>
      <c r="I11" s="39"/>
      <c r="J11" s="136"/>
      <c r="K11" s="47">
        <v>10</v>
      </c>
      <c r="L11" s="47" t="s">
        <v>235</v>
      </c>
    </row>
    <row r="12" spans="1:13" x14ac:dyDescent="0.25">
      <c r="F12" s="39"/>
      <c r="G12" s="39"/>
      <c r="H12" s="53"/>
      <c r="I12" s="39"/>
    </row>
    <row r="13" spans="1:13" ht="28.15" customHeight="1" x14ac:dyDescent="0.25">
      <c r="A13" s="407" t="s">
        <v>211</v>
      </c>
      <c r="B13" s="408"/>
      <c r="C13" s="39">
        <v>8</v>
      </c>
      <c r="D13" s="39" t="s">
        <v>212</v>
      </c>
    </row>
    <row r="14" spans="1:13" x14ac:dyDescent="0.25">
      <c r="A14" s="407" t="s">
        <v>213</v>
      </c>
      <c r="B14" s="408"/>
      <c r="C14" s="39">
        <v>10</v>
      </c>
      <c r="D14" s="39" t="s">
        <v>191</v>
      </c>
    </row>
    <row r="16" spans="1:13" s="58" customFormat="1" ht="49.5" x14ac:dyDescent="0.25">
      <c r="A16" s="409" t="s">
        <v>84</v>
      </c>
      <c r="B16" s="409" t="s">
        <v>203</v>
      </c>
      <c r="C16" s="409" t="s">
        <v>2</v>
      </c>
      <c r="D16" s="404" t="s">
        <v>214</v>
      </c>
      <c r="E16" s="403" t="s">
        <v>223</v>
      </c>
      <c r="F16" s="403"/>
      <c r="G16" s="403"/>
      <c r="H16" s="403"/>
      <c r="I16" s="403"/>
      <c r="J16" s="403"/>
      <c r="K16" s="56" t="s">
        <v>224</v>
      </c>
      <c r="L16" s="404" t="s">
        <v>233</v>
      </c>
      <c r="M16" s="406" t="s">
        <v>8</v>
      </c>
    </row>
    <row r="17" spans="1:13" s="58" customFormat="1" ht="49.5" x14ac:dyDescent="0.25">
      <c r="A17" s="410"/>
      <c r="B17" s="410"/>
      <c r="C17" s="410"/>
      <c r="D17" s="405"/>
      <c r="E17" s="57" t="s">
        <v>196</v>
      </c>
      <c r="F17" s="57" t="s">
        <v>197</v>
      </c>
      <c r="G17" s="57" t="s">
        <v>198</v>
      </c>
      <c r="H17" s="56" t="s">
        <v>215</v>
      </c>
      <c r="I17" s="56" t="s">
        <v>221</v>
      </c>
      <c r="J17" s="56" t="s">
        <v>253</v>
      </c>
      <c r="K17" s="56" t="s">
        <v>254</v>
      </c>
      <c r="L17" s="405"/>
      <c r="M17" s="406"/>
    </row>
    <row r="18" spans="1:13" x14ac:dyDescent="0.25">
      <c r="A18" s="39">
        <v>1</v>
      </c>
      <c r="B18" s="39" t="s">
        <v>222</v>
      </c>
      <c r="C18" s="39" t="s">
        <v>92</v>
      </c>
      <c r="D18" s="39">
        <v>1.6</v>
      </c>
      <c r="E18" s="130">
        <v>2</v>
      </c>
      <c r="F18" s="130">
        <v>0</v>
      </c>
      <c r="G18" s="130">
        <v>0</v>
      </c>
      <c r="H18" s="42">
        <f t="shared" ref="H18:H24" si="2">E18/$H$4+E18/$H$5+F18/$I$4+F18/$I$5+G18/$J$4+G18/$J$5</f>
        <v>0.36</v>
      </c>
      <c r="I18" s="42">
        <f t="shared" ref="I18:I24" si="3">($D$9*$H$10*E18+$D$10*$H$10*F18+$D$11*$H$10*G18)/($C$13*$C$14)</f>
        <v>32.747175000000006</v>
      </c>
      <c r="J18" s="42">
        <f>IF(D18="",I18,D18*I18)</f>
        <v>52.395480000000013</v>
      </c>
      <c r="K18" s="53">
        <f>loading_unloading!F17</f>
        <v>270.60000000000002</v>
      </c>
      <c r="L18" s="53">
        <f>TRUNC(SUM(J18:K18),2)</f>
        <v>322.99</v>
      </c>
      <c r="M18" s="39"/>
    </row>
    <row r="19" spans="1:13" x14ac:dyDescent="0.25">
      <c r="A19" s="39">
        <v>2</v>
      </c>
      <c r="B19" s="39" t="s">
        <v>249</v>
      </c>
      <c r="C19" s="39" t="s">
        <v>92</v>
      </c>
      <c r="D19" s="39">
        <v>1.6</v>
      </c>
      <c r="E19" s="130">
        <v>2</v>
      </c>
      <c r="F19" s="130">
        <v>0</v>
      </c>
      <c r="G19" s="130">
        <v>0</v>
      </c>
      <c r="H19" s="42">
        <f t="shared" si="2"/>
        <v>0.36</v>
      </c>
      <c r="I19" s="42">
        <f t="shared" si="3"/>
        <v>32.747175000000006</v>
      </c>
      <c r="J19" s="42">
        <f t="shared" ref="J19:J20" si="4">IF(D19="",I19,D19*I19)</f>
        <v>52.395480000000013</v>
      </c>
      <c r="K19" s="53">
        <f>loading_unloading!F25</f>
        <v>270.60000000000002</v>
      </c>
      <c r="L19" s="53">
        <f t="shared" ref="L19:L24" si="5">TRUNC(SUM(J19:K19),2)</f>
        <v>322.99</v>
      </c>
      <c r="M19" s="39"/>
    </row>
    <row r="20" spans="1:13" x14ac:dyDescent="0.25">
      <c r="A20" s="39">
        <v>3</v>
      </c>
      <c r="B20" s="39" t="s">
        <v>11</v>
      </c>
      <c r="C20" s="39" t="s">
        <v>235</v>
      </c>
      <c r="D20" s="39"/>
      <c r="E20" s="130">
        <v>0</v>
      </c>
      <c r="F20" s="130">
        <v>0</v>
      </c>
      <c r="G20" s="130">
        <v>160</v>
      </c>
      <c r="H20" s="42">
        <f t="shared" si="2"/>
        <v>14.4</v>
      </c>
      <c r="I20" s="42">
        <f t="shared" si="3"/>
        <v>5239.5480000000007</v>
      </c>
      <c r="J20" s="42">
        <f t="shared" si="4"/>
        <v>5239.5480000000007</v>
      </c>
      <c r="K20" s="53">
        <f>loading_unloading!F33</f>
        <v>436</v>
      </c>
      <c r="L20" s="53">
        <f t="shared" si="5"/>
        <v>5675.54</v>
      </c>
      <c r="M20" s="39"/>
    </row>
    <row r="21" spans="1:13" x14ac:dyDescent="0.25">
      <c r="A21" s="39">
        <v>4</v>
      </c>
      <c r="B21" s="39" t="s">
        <v>240</v>
      </c>
      <c r="C21" s="39" t="s">
        <v>235</v>
      </c>
      <c r="D21" s="39"/>
      <c r="E21" s="130">
        <v>0</v>
      </c>
      <c r="F21" s="130">
        <v>0</v>
      </c>
      <c r="G21" s="130">
        <v>160</v>
      </c>
      <c r="H21" s="42">
        <f t="shared" si="2"/>
        <v>14.4</v>
      </c>
      <c r="I21" s="42">
        <f t="shared" si="3"/>
        <v>5239.5480000000007</v>
      </c>
      <c r="J21" s="42">
        <f t="shared" ref="J21" si="6">IF(D21="",I21,D21*I21)</f>
        <v>5239.5480000000007</v>
      </c>
      <c r="K21" s="53">
        <f>loading_unloading!F33</f>
        <v>436</v>
      </c>
      <c r="L21" s="53">
        <f t="shared" si="5"/>
        <v>5675.54</v>
      </c>
      <c r="M21" s="39"/>
    </row>
    <row r="22" spans="1:13" ht="49.5" x14ac:dyDescent="0.25">
      <c r="A22" s="39">
        <v>5</v>
      </c>
      <c r="B22" s="39" t="s">
        <v>195</v>
      </c>
      <c r="C22" s="39" t="s">
        <v>82</v>
      </c>
      <c r="D22" s="39">
        <v>2.5</v>
      </c>
      <c r="E22" s="130">
        <v>0</v>
      </c>
      <c r="F22" s="130">
        <v>0</v>
      </c>
      <c r="G22" s="130">
        <v>160</v>
      </c>
      <c r="H22" s="42">
        <f t="shared" si="2"/>
        <v>14.4</v>
      </c>
      <c r="I22" s="42">
        <f t="shared" si="3"/>
        <v>5239.5480000000007</v>
      </c>
      <c r="J22" s="42">
        <f>I22*1.7/2.5</f>
        <v>3562.8926400000005</v>
      </c>
      <c r="K22" s="53">
        <f>loading_unloading!F43</f>
        <v>355.06666666666666</v>
      </c>
      <c r="L22" s="53">
        <f t="shared" si="5"/>
        <v>3917.95</v>
      </c>
      <c r="M22" s="48" t="s">
        <v>242</v>
      </c>
    </row>
    <row r="23" spans="1:13" x14ac:dyDescent="0.25">
      <c r="A23" s="39">
        <v>6</v>
      </c>
      <c r="B23" s="39" t="s">
        <v>247</v>
      </c>
      <c r="C23" s="39" t="s">
        <v>248</v>
      </c>
      <c r="D23" s="39">
        <v>0.749</v>
      </c>
      <c r="E23" s="130">
        <v>0</v>
      </c>
      <c r="F23" s="130">
        <v>0</v>
      </c>
      <c r="G23" s="130">
        <v>160</v>
      </c>
      <c r="H23" s="42">
        <f t="shared" si="2"/>
        <v>14.4</v>
      </c>
      <c r="I23" s="42">
        <f t="shared" si="3"/>
        <v>5239.5480000000007</v>
      </c>
      <c r="J23" s="42">
        <f>I23*D23/1000</f>
        <v>3.9244214520000007</v>
      </c>
      <c r="K23" s="53">
        <f>loading_unloading!F44</f>
        <v>0</v>
      </c>
      <c r="L23" s="53">
        <f t="shared" si="5"/>
        <v>3.92</v>
      </c>
      <c r="M23" s="39"/>
    </row>
    <row r="24" spans="1:13" x14ac:dyDescent="0.25">
      <c r="A24" s="39">
        <v>7</v>
      </c>
      <c r="B24" s="39" t="s">
        <v>250</v>
      </c>
      <c r="C24" s="39" t="s">
        <v>251</v>
      </c>
      <c r="D24" s="39"/>
      <c r="E24" s="130">
        <v>0</v>
      </c>
      <c r="F24" s="130">
        <v>0</v>
      </c>
      <c r="G24" s="130">
        <v>160</v>
      </c>
      <c r="H24" s="42">
        <f t="shared" si="2"/>
        <v>14.4</v>
      </c>
      <c r="I24" s="42">
        <f t="shared" si="3"/>
        <v>5239.5480000000007</v>
      </c>
      <c r="J24" s="42">
        <f>I24/500</f>
        <v>10.479096000000002</v>
      </c>
      <c r="K24" s="53"/>
      <c r="L24" s="53">
        <f t="shared" si="5"/>
        <v>10.47</v>
      </c>
      <c r="M24" s="39" t="s">
        <v>252</v>
      </c>
    </row>
    <row r="27" spans="1:13" x14ac:dyDescent="0.25">
      <c r="L27" s="126"/>
    </row>
  </sheetData>
  <mergeCells count="10">
    <mergeCell ref="A13:B13"/>
    <mergeCell ref="A14:B14"/>
    <mergeCell ref="A16:A17"/>
    <mergeCell ref="B16:B17"/>
    <mergeCell ref="C16:C17"/>
    <mergeCell ref="G2:J2"/>
    <mergeCell ref="E16:J16"/>
    <mergeCell ref="L16:L17"/>
    <mergeCell ref="D16:D17"/>
    <mergeCell ref="M16:M17"/>
  </mergeCells>
  <printOptions horizontalCentered="1"/>
  <pageMargins left="0.70866141732283472" right="0.70866141732283472" top="0.74803149606299213" bottom="0.74803149606299213" header="0.31496062992125984" footer="0.31496062992125984"/>
  <pageSetup paperSize="9" scale="75" orientation="landscape" r:id="rId1"/>
  <headerFooter>
    <oddFooter>&amp;LPrepared By:&amp;CChecked By:&amp;RApproved By: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G43"/>
  <sheetViews>
    <sheetView view="pageBreakPreview" zoomScaleNormal="100" zoomScaleSheetLayoutView="100" workbookViewId="0">
      <selection activeCell="J13" sqref="J13"/>
    </sheetView>
  </sheetViews>
  <sheetFormatPr defaultColWidth="8.7109375" defaultRowHeight="16.5" x14ac:dyDescent="0.3"/>
  <cols>
    <col min="1" max="1" width="8.7109375" style="37"/>
    <col min="2" max="2" width="16.7109375" style="37" bestFit="1" customWidth="1"/>
    <col min="3" max="3" width="8.7109375" style="37"/>
    <col min="4" max="4" width="20.28515625" style="37" customWidth="1"/>
    <col min="5" max="5" width="15" style="37" customWidth="1"/>
    <col min="6" max="6" width="12.28515625" style="37" bestFit="1" customWidth="1"/>
    <col min="7" max="16384" width="8.7109375" style="37"/>
  </cols>
  <sheetData>
    <row r="2" spans="2:7" x14ac:dyDescent="0.3">
      <c r="D2" s="38" t="s">
        <v>228</v>
      </c>
      <c r="E2" s="38"/>
      <c r="F2" s="38"/>
      <c r="G2" s="38"/>
    </row>
    <row r="3" spans="2:7" x14ac:dyDescent="0.3">
      <c r="D3" s="38" t="s">
        <v>227</v>
      </c>
      <c r="E3" s="38"/>
      <c r="F3" s="40">
        <v>1540</v>
      </c>
      <c r="G3" s="38" t="s">
        <v>234</v>
      </c>
    </row>
    <row r="4" spans="2:7" x14ac:dyDescent="0.3">
      <c r="D4" s="38" t="s">
        <v>193</v>
      </c>
      <c r="E4" s="38"/>
      <c r="F4" s="40">
        <v>1540</v>
      </c>
      <c r="G4" s="38" t="s">
        <v>234</v>
      </c>
    </row>
    <row r="5" spans="2:7" x14ac:dyDescent="0.3">
      <c r="D5" s="38" t="s">
        <v>192</v>
      </c>
      <c r="E5" s="38"/>
      <c r="F5" s="40">
        <v>2970</v>
      </c>
      <c r="G5" s="38" t="s">
        <v>234</v>
      </c>
    </row>
    <row r="6" spans="2:7" x14ac:dyDescent="0.3">
      <c r="D6" s="38" t="s">
        <v>239</v>
      </c>
      <c r="E6" s="38"/>
      <c r="F6" s="40">
        <f>basic_rates!H50</f>
        <v>640</v>
      </c>
      <c r="G6" s="38" t="s">
        <v>90</v>
      </c>
    </row>
    <row r="7" spans="2:7" x14ac:dyDescent="0.3">
      <c r="D7" s="38" t="s">
        <v>244</v>
      </c>
      <c r="E7" s="38"/>
      <c r="F7" s="40">
        <v>1000</v>
      </c>
      <c r="G7" s="38"/>
    </row>
    <row r="8" spans="2:7" x14ac:dyDescent="0.3">
      <c r="D8" s="38" t="s">
        <v>246</v>
      </c>
      <c r="E8" s="38"/>
      <c r="F8" s="38">
        <v>2006</v>
      </c>
      <c r="G8" s="38" t="s">
        <v>234</v>
      </c>
    </row>
    <row r="11" spans="2:7" x14ac:dyDescent="0.3">
      <c r="B11" s="412" t="s">
        <v>230</v>
      </c>
      <c r="C11" s="413"/>
      <c r="D11" s="50" t="s">
        <v>222</v>
      </c>
      <c r="E11" s="59" t="s">
        <v>85</v>
      </c>
      <c r="F11" s="51" t="s">
        <v>93</v>
      </c>
    </row>
    <row r="12" spans="2:7" ht="14.65" customHeight="1" x14ac:dyDescent="0.3">
      <c r="B12" s="414" t="s">
        <v>225</v>
      </c>
      <c r="C12" s="414" t="s">
        <v>85</v>
      </c>
      <c r="D12" s="49"/>
      <c r="E12" s="49" t="s">
        <v>237</v>
      </c>
      <c r="F12" s="52">
        <v>5.5</v>
      </c>
    </row>
    <row r="13" spans="2:7" x14ac:dyDescent="0.3">
      <c r="B13" s="414"/>
      <c r="C13" s="414"/>
      <c r="D13" s="49" t="s">
        <v>226</v>
      </c>
      <c r="E13" s="49" t="s">
        <v>209</v>
      </c>
      <c r="F13" s="49" t="s">
        <v>238</v>
      </c>
    </row>
    <row r="14" spans="2:7" x14ac:dyDescent="0.3">
      <c r="B14" s="38" t="s">
        <v>227</v>
      </c>
      <c r="C14" s="38" t="s">
        <v>174</v>
      </c>
      <c r="D14" s="40">
        <v>0.33</v>
      </c>
      <c r="E14" s="40">
        <f>F3</f>
        <v>1540</v>
      </c>
      <c r="F14" s="40">
        <f>E14*D14</f>
        <v>508.20000000000005</v>
      </c>
    </row>
    <row r="15" spans="2:7" x14ac:dyDescent="0.3">
      <c r="B15" s="38" t="s">
        <v>192</v>
      </c>
      <c r="C15" s="38" t="s">
        <v>91</v>
      </c>
      <c r="D15" s="40">
        <v>0.33</v>
      </c>
      <c r="E15" s="40">
        <f>F5</f>
        <v>2970</v>
      </c>
      <c r="F15" s="40">
        <f>E15*D15</f>
        <v>980.1</v>
      </c>
    </row>
    <row r="16" spans="2:7" x14ac:dyDescent="0.3">
      <c r="B16" s="411" t="s">
        <v>231</v>
      </c>
      <c r="C16" s="411"/>
      <c r="D16" s="411"/>
      <c r="E16" s="43"/>
      <c r="F16" s="40">
        <f>SUM(F14:F15)</f>
        <v>1488.3000000000002</v>
      </c>
    </row>
    <row r="17" spans="2:6" x14ac:dyDescent="0.3">
      <c r="B17" s="411" t="s">
        <v>232</v>
      </c>
      <c r="C17" s="411"/>
      <c r="D17" s="411"/>
      <c r="E17" s="43"/>
      <c r="F17" s="40">
        <f>F16/F12</f>
        <v>270.60000000000002</v>
      </c>
    </row>
    <row r="19" spans="2:6" x14ac:dyDescent="0.3">
      <c r="B19" s="412" t="s">
        <v>230</v>
      </c>
      <c r="C19" s="413"/>
      <c r="D19" s="50" t="s">
        <v>31</v>
      </c>
      <c r="E19" s="50"/>
      <c r="F19" s="51" t="s">
        <v>93</v>
      </c>
    </row>
    <row r="20" spans="2:6" x14ac:dyDescent="0.3">
      <c r="B20" s="414" t="s">
        <v>225</v>
      </c>
      <c r="C20" s="414" t="s">
        <v>85</v>
      </c>
      <c r="D20" s="49" t="s">
        <v>85</v>
      </c>
      <c r="E20" s="49"/>
      <c r="F20" s="52">
        <v>5.5</v>
      </c>
    </row>
    <row r="21" spans="2:6" x14ac:dyDescent="0.3">
      <c r="B21" s="414"/>
      <c r="C21" s="414"/>
      <c r="D21" s="49" t="s">
        <v>226</v>
      </c>
      <c r="E21" s="49"/>
      <c r="F21" s="49" t="s">
        <v>229</v>
      </c>
    </row>
    <row r="22" spans="2:6" x14ac:dyDescent="0.3">
      <c r="B22" s="38" t="s">
        <v>227</v>
      </c>
      <c r="C22" s="38" t="s">
        <v>174</v>
      </c>
      <c r="D22" s="40">
        <v>0.33</v>
      </c>
      <c r="E22" s="40">
        <f>F3</f>
        <v>1540</v>
      </c>
      <c r="F22" s="40">
        <f>E22*D22</f>
        <v>508.20000000000005</v>
      </c>
    </row>
    <row r="23" spans="2:6" x14ac:dyDescent="0.3">
      <c r="B23" s="38" t="s">
        <v>192</v>
      </c>
      <c r="C23" s="38" t="s">
        <v>91</v>
      </c>
      <c r="D23" s="40">
        <v>0.33</v>
      </c>
      <c r="E23" s="40">
        <f>F5</f>
        <v>2970</v>
      </c>
      <c r="F23" s="40">
        <f>E23*D23</f>
        <v>980.1</v>
      </c>
    </row>
    <row r="24" spans="2:6" x14ac:dyDescent="0.3">
      <c r="B24" s="411" t="s">
        <v>231</v>
      </c>
      <c r="C24" s="411"/>
      <c r="D24" s="411"/>
      <c r="E24" s="43"/>
      <c r="F24" s="40">
        <f>SUM(F22:F23)</f>
        <v>1488.3000000000002</v>
      </c>
    </row>
    <row r="25" spans="2:6" x14ac:dyDescent="0.3">
      <c r="B25" s="411" t="s">
        <v>232</v>
      </c>
      <c r="C25" s="411"/>
      <c r="D25" s="411"/>
      <c r="E25" s="43"/>
      <c r="F25" s="40">
        <f>F24/F20</f>
        <v>270.60000000000002</v>
      </c>
    </row>
    <row r="27" spans="2:6" x14ac:dyDescent="0.3">
      <c r="B27" s="412" t="s">
        <v>230</v>
      </c>
      <c r="C27" s="413"/>
      <c r="D27" s="50" t="s">
        <v>241</v>
      </c>
      <c r="E27" s="50"/>
      <c r="F27" s="51" t="s">
        <v>200</v>
      </c>
    </row>
    <row r="28" spans="2:6" x14ac:dyDescent="0.3">
      <c r="B28" s="414" t="s">
        <v>225</v>
      </c>
      <c r="C28" s="414" t="s">
        <v>85</v>
      </c>
      <c r="D28" s="49" t="s">
        <v>85</v>
      </c>
      <c r="E28" s="49"/>
      <c r="F28" s="52">
        <v>10</v>
      </c>
    </row>
    <row r="29" spans="2:6" x14ac:dyDescent="0.3">
      <c r="B29" s="414"/>
      <c r="C29" s="414"/>
      <c r="D29" s="49" t="s">
        <v>226</v>
      </c>
      <c r="E29" s="49" t="s">
        <v>209</v>
      </c>
      <c r="F29" s="49" t="s">
        <v>229</v>
      </c>
    </row>
    <row r="30" spans="2:6" x14ac:dyDescent="0.3">
      <c r="B30" s="38" t="s">
        <v>236</v>
      </c>
      <c r="C30" s="38" t="s">
        <v>90</v>
      </c>
      <c r="D30" s="40">
        <v>2</v>
      </c>
      <c r="E30" s="40">
        <f>F6</f>
        <v>640</v>
      </c>
      <c r="F30" s="40">
        <f>E30*D30</f>
        <v>1280</v>
      </c>
    </row>
    <row r="31" spans="2:6" x14ac:dyDescent="0.3">
      <c r="B31" s="38" t="s">
        <v>193</v>
      </c>
      <c r="C31" s="38" t="s">
        <v>91</v>
      </c>
      <c r="D31" s="40">
        <v>2</v>
      </c>
      <c r="E31" s="40">
        <f>F3</f>
        <v>1540</v>
      </c>
      <c r="F31" s="40">
        <f>E31*D31</f>
        <v>3080</v>
      </c>
    </row>
    <row r="32" spans="2:6" x14ac:dyDescent="0.3">
      <c r="B32" s="411" t="s">
        <v>231</v>
      </c>
      <c r="C32" s="411"/>
      <c r="D32" s="411"/>
      <c r="E32" s="43"/>
      <c r="F32" s="40">
        <f>SUM(F30:F31)</f>
        <v>4360</v>
      </c>
    </row>
    <row r="33" spans="2:6" x14ac:dyDescent="0.3">
      <c r="B33" s="411" t="s">
        <v>232</v>
      </c>
      <c r="C33" s="411"/>
      <c r="D33" s="411"/>
      <c r="E33" s="43"/>
      <c r="F33" s="40">
        <f>F32/F28</f>
        <v>436</v>
      </c>
    </row>
    <row r="35" spans="2:6" x14ac:dyDescent="0.3">
      <c r="B35" s="412" t="s">
        <v>230</v>
      </c>
      <c r="C35" s="413"/>
      <c r="D35" s="50" t="s">
        <v>243</v>
      </c>
      <c r="E35" s="50"/>
      <c r="F35" s="51" t="s">
        <v>82</v>
      </c>
    </row>
    <row r="36" spans="2:6" x14ac:dyDescent="0.3">
      <c r="B36" s="414" t="s">
        <v>225</v>
      </c>
      <c r="C36" s="414" t="s">
        <v>85</v>
      </c>
      <c r="D36" s="49" t="s">
        <v>85</v>
      </c>
      <c r="E36" s="49"/>
      <c r="F36" s="52">
        <v>15</v>
      </c>
    </row>
    <row r="37" spans="2:6" x14ac:dyDescent="0.3">
      <c r="B37" s="414"/>
      <c r="C37" s="414"/>
      <c r="D37" s="49" t="s">
        <v>226</v>
      </c>
      <c r="E37" s="49" t="s">
        <v>209</v>
      </c>
      <c r="F37" s="49" t="s">
        <v>229</v>
      </c>
    </row>
    <row r="38" spans="2:6" x14ac:dyDescent="0.3">
      <c r="B38" s="38" t="s">
        <v>244</v>
      </c>
      <c r="C38" s="38" t="s">
        <v>90</v>
      </c>
      <c r="D38" s="40">
        <v>0.5</v>
      </c>
      <c r="E38" s="41">
        <f>F7</f>
        <v>1000</v>
      </c>
      <c r="F38" s="40">
        <f>E38*D38</f>
        <v>500</v>
      </c>
    </row>
    <row r="39" spans="2:6" x14ac:dyDescent="0.3">
      <c r="B39" s="38" t="s">
        <v>236</v>
      </c>
      <c r="C39" s="38" t="s">
        <v>90</v>
      </c>
      <c r="D39" s="40">
        <v>2</v>
      </c>
      <c r="E39" s="40">
        <f>F6</f>
        <v>640</v>
      </c>
      <c r="F39" s="40">
        <f t="shared" ref="F39:F41" si="0">E39*D39</f>
        <v>1280</v>
      </c>
    </row>
    <row r="40" spans="2:6" x14ac:dyDescent="0.3">
      <c r="B40" s="38" t="s">
        <v>193</v>
      </c>
      <c r="C40" s="38" t="s">
        <v>91</v>
      </c>
      <c r="D40" s="40">
        <v>1</v>
      </c>
      <c r="E40" s="40">
        <f>F4</f>
        <v>1540</v>
      </c>
      <c r="F40" s="40">
        <f t="shared" si="0"/>
        <v>1540</v>
      </c>
    </row>
    <row r="41" spans="2:6" x14ac:dyDescent="0.3">
      <c r="B41" s="38" t="s">
        <v>245</v>
      </c>
      <c r="C41" s="38" t="s">
        <v>91</v>
      </c>
      <c r="D41" s="40">
        <v>1</v>
      </c>
      <c r="E41" s="40">
        <f>F8</f>
        <v>2006</v>
      </c>
      <c r="F41" s="40">
        <f t="shared" si="0"/>
        <v>2006</v>
      </c>
    </row>
    <row r="42" spans="2:6" x14ac:dyDescent="0.3">
      <c r="B42" s="411" t="s">
        <v>231</v>
      </c>
      <c r="C42" s="411"/>
      <c r="D42" s="411"/>
      <c r="E42" s="43"/>
      <c r="F42" s="40">
        <f>SUM(F38:F41)</f>
        <v>5326</v>
      </c>
    </row>
    <row r="43" spans="2:6" x14ac:dyDescent="0.3">
      <c r="B43" s="411" t="s">
        <v>232</v>
      </c>
      <c r="C43" s="411"/>
      <c r="D43" s="411"/>
      <c r="E43" s="43"/>
      <c r="F43" s="40">
        <f>F42/F36</f>
        <v>355.06666666666666</v>
      </c>
    </row>
  </sheetData>
  <mergeCells count="20">
    <mergeCell ref="B35:C35"/>
    <mergeCell ref="B36:B37"/>
    <mergeCell ref="C36:C37"/>
    <mergeCell ref="B42:D42"/>
    <mergeCell ref="B43:D43"/>
    <mergeCell ref="B33:D33"/>
    <mergeCell ref="B24:D24"/>
    <mergeCell ref="B25:D25"/>
    <mergeCell ref="B11:C11"/>
    <mergeCell ref="B12:B13"/>
    <mergeCell ref="C12:C13"/>
    <mergeCell ref="B19:C19"/>
    <mergeCell ref="B20:B21"/>
    <mergeCell ref="B16:D16"/>
    <mergeCell ref="B17:D17"/>
    <mergeCell ref="C20:C21"/>
    <mergeCell ref="B27:C27"/>
    <mergeCell ref="B28:B29"/>
    <mergeCell ref="C28:C29"/>
    <mergeCell ref="B32:D32"/>
  </mergeCells>
  <printOptions horizontalCentered="1"/>
  <pageMargins left="0.70866141732283472" right="0.70866141732283472" top="0.74803149606299213" bottom="0.74803149606299213" header="0.31496062992125984" footer="0.31496062992125984"/>
  <pageSetup orientation="portrait" r:id="rId1"/>
  <headerFooter>
    <oddFooter>&amp;LPrepared By:&amp;CChecked By:&amp;RApproved By:</oddFooter>
  </headerFooter>
  <ignoredErrors>
    <ignoredError sqref="E4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P16"/>
  <sheetViews>
    <sheetView view="pageBreakPreview" zoomScaleNormal="100" zoomScaleSheetLayoutView="100" workbookViewId="0">
      <selection activeCell="T11" sqref="T11"/>
    </sheetView>
  </sheetViews>
  <sheetFormatPr defaultColWidth="9.28515625" defaultRowHeight="12.75" x14ac:dyDescent="0.2"/>
  <cols>
    <col min="1" max="16384" width="9.28515625" style="186"/>
  </cols>
  <sheetData>
    <row r="1" spans="1:16" s="137" customFormat="1" ht="15.75" x14ac:dyDescent="0.25">
      <c r="A1" s="420" t="s">
        <v>302</v>
      </c>
      <c r="B1" s="420"/>
      <c r="C1" s="420"/>
      <c r="D1" s="420"/>
      <c r="E1" s="420"/>
      <c r="F1" s="420"/>
      <c r="G1" s="420"/>
      <c r="H1" s="420"/>
      <c r="I1" s="420"/>
      <c r="J1" s="420"/>
      <c r="K1" s="420"/>
      <c r="L1" s="420"/>
      <c r="M1" s="420"/>
      <c r="N1" s="420"/>
      <c r="O1" s="420"/>
      <c r="P1" s="420"/>
    </row>
    <row r="2" spans="1:16" s="139" customFormat="1" ht="15" customHeight="1" x14ac:dyDescent="0.25">
      <c r="A2" s="138" t="s">
        <v>303</v>
      </c>
      <c r="C2" s="419" t="s">
        <v>304</v>
      </c>
      <c r="D2" s="419"/>
      <c r="E2" s="419"/>
      <c r="F2" s="419"/>
      <c r="G2" s="419"/>
      <c r="H2" s="419"/>
      <c r="I2" s="419"/>
      <c r="J2" s="419"/>
      <c r="K2" s="419"/>
      <c r="L2" s="419"/>
      <c r="M2" s="419"/>
      <c r="N2" s="140"/>
      <c r="O2" s="141" t="s">
        <v>305</v>
      </c>
      <c r="P2" s="138" t="s">
        <v>306</v>
      </c>
    </row>
    <row r="3" spans="1:16" s="142" customFormat="1" ht="15" customHeight="1" x14ac:dyDescent="0.2">
      <c r="A3" s="415" t="s">
        <v>307</v>
      </c>
      <c r="B3" s="417" t="s">
        <v>99</v>
      </c>
      <c r="C3" s="417"/>
      <c r="D3" s="417"/>
      <c r="E3" s="417"/>
      <c r="F3" s="417"/>
      <c r="G3" s="417" t="s">
        <v>100</v>
      </c>
      <c r="H3" s="417"/>
      <c r="I3" s="417"/>
      <c r="J3" s="417"/>
      <c r="K3" s="417"/>
      <c r="L3" s="417" t="s">
        <v>101</v>
      </c>
      <c r="M3" s="417"/>
      <c r="N3" s="417"/>
      <c r="O3" s="417"/>
      <c r="P3" s="418"/>
    </row>
    <row r="4" spans="1:16" s="142" customFormat="1" ht="15" customHeight="1" x14ac:dyDescent="0.2">
      <c r="A4" s="416"/>
      <c r="B4" s="143" t="s">
        <v>102</v>
      </c>
      <c r="C4" s="143" t="s">
        <v>2</v>
      </c>
      <c r="D4" s="143" t="s">
        <v>103</v>
      </c>
      <c r="E4" s="143" t="s">
        <v>104</v>
      </c>
      <c r="F4" s="143" t="s">
        <v>86</v>
      </c>
      <c r="G4" s="143" t="s">
        <v>102</v>
      </c>
      <c r="H4" s="143" t="s">
        <v>2</v>
      </c>
      <c r="I4" s="143" t="s">
        <v>103</v>
      </c>
      <c r="J4" s="143" t="s">
        <v>104</v>
      </c>
      <c r="K4" s="143" t="s">
        <v>86</v>
      </c>
      <c r="L4" s="143" t="s">
        <v>102</v>
      </c>
      <c r="M4" s="143" t="s">
        <v>2</v>
      </c>
      <c r="N4" s="143" t="s">
        <v>103</v>
      </c>
      <c r="O4" s="143" t="s">
        <v>104</v>
      </c>
      <c r="P4" s="144" t="s">
        <v>86</v>
      </c>
    </row>
    <row r="5" spans="1:16" s="142" customFormat="1" ht="51" x14ac:dyDescent="0.2">
      <c r="A5" s="145" t="s">
        <v>308</v>
      </c>
      <c r="B5" s="146" t="s">
        <v>88</v>
      </c>
      <c r="C5" s="147" t="s">
        <v>63</v>
      </c>
      <c r="D5" s="148">
        <v>1.5</v>
      </c>
      <c r="E5" s="149">
        <f>basic_rates!D50</f>
        <v>640</v>
      </c>
      <c r="F5" s="149">
        <f>D5*E5</f>
        <v>960</v>
      </c>
      <c r="G5" s="150" t="s">
        <v>309</v>
      </c>
      <c r="H5" s="151"/>
      <c r="I5" s="151"/>
      <c r="J5" s="152"/>
      <c r="K5" s="153"/>
      <c r="L5" s="154" t="s">
        <v>310</v>
      </c>
      <c r="M5" s="155"/>
      <c r="N5" s="156"/>
      <c r="O5" s="155"/>
      <c r="P5" s="157">
        <f>F5*3%</f>
        <v>28.799999999999997</v>
      </c>
    </row>
    <row r="6" spans="1:16" s="137" customFormat="1" ht="21" customHeight="1" x14ac:dyDescent="0.2">
      <c r="A6" s="158"/>
      <c r="B6" s="159"/>
      <c r="C6" s="160"/>
      <c r="D6" s="160"/>
      <c r="E6" s="161"/>
      <c r="F6" s="161"/>
      <c r="G6" s="161" t="s">
        <v>311</v>
      </c>
      <c r="H6" s="161"/>
      <c r="I6" s="161"/>
      <c r="J6" s="161"/>
      <c r="K6" s="161"/>
      <c r="L6" s="162">
        <f>P5+K5+F5</f>
        <v>988.8</v>
      </c>
      <c r="M6" s="161"/>
      <c r="N6" s="161"/>
      <c r="O6" s="163"/>
      <c r="P6" s="164"/>
    </row>
    <row r="7" spans="1:16" s="139" customFormat="1" ht="15" customHeight="1" x14ac:dyDescent="0.25">
      <c r="A7" s="138" t="s">
        <v>303</v>
      </c>
      <c r="C7" s="419" t="s">
        <v>312</v>
      </c>
      <c r="D7" s="419"/>
      <c r="E7" s="419"/>
      <c r="F7" s="419"/>
      <c r="G7" s="419"/>
      <c r="H7" s="419"/>
      <c r="I7" s="419"/>
      <c r="J7" s="419"/>
      <c r="K7" s="419"/>
      <c r="L7" s="419"/>
      <c r="M7" s="419"/>
      <c r="N7" s="140"/>
      <c r="O7" s="141" t="s">
        <v>305</v>
      </c>
      <c r="P7" s="138" t="s">
        <v>306</v>
      </c>
    </row>
    <row r="8" spans="1:16" s="142" customFormat="1" ht="15" customHeight="1" x14ac:dyDescent="0.2">
      <c r="A8" s="415" t="s">
        <v>307</v>
      </c>
      <c r="B8" s="417" t="s">
        <v>99</v>
      </c>
      <c r="C8" s="417"/>
      <c r="D8" s="417"/>
      <c r="E8" s="417"/>
      <c r="F8" s="417"/>
      <c r="G8" s="417" t="s">
        <v>100</v>
      </c>
      <c r="H8" s="417"/>
      <c r="I8" s="417"/>
      <c r="J8" s="417"/>
      <c r="K8" s="417"/>
      <c r="L8" s="417" t="s">
        <v>101</v>
      </c>
      <c r="M8" s="417"/>
      <c r="N8" s="417"/>
      <c r="O8" s="417"/>
      <c r="P8" s="418"/>
    </row>
    <row r="9" spans="1:16" s="142" customFormat="1" ht="15" customHeight="1" x14ac:dyDescent="0.2">
      <c r="A9" s="416"/>
      <c r="B9" s="143" t="s">
        <v>102</v>
      </c>
      <c r="C9" s="143" t="s">
        <v>2</v>
      </c>
      <c r="D9" s="143" t="s">
        <v>103</v>
      </c>
      <c r="E9" s="143" t="s">
        <v>104</v>
      </c>
      <c r="F9" s="143" t="s">
        <v>86</v>
      </c>
      <c r="G9" s="143" t="s">
        <v>102</v>
      </c>
      <c r="H9" s="143" t="s">
        <v>2</v>
      </c>
      <c r="I9" s="143" t="s">
        <v>103</v>
      </c>
      <c r="J9" s="143" t="s">
        <v>104</v>
      </c>
      <c r="K9" s="143" t="s">
        <v>86</v>
      </c>
      <c r="L9" s="143" t="s">
        <v>102</v>
      </c>
      <c r="M9" s="143" t="s">
        <v>2</v>
      </c>
      <c r="N9" s="143" t="s">
        <v>103</v>
      </c>
      <c r="O9" s="143" t="s">
        <v>104</v>
      </c>
      <c r="P9" s="144" t="s">
        <v>86</v>
      </c>
    </row>
    <row r="10" spans="1:16" s="142" customFormat="1" ht="15" customHeight="1" x14ac:dyDescent="0.2">
      <c r="A10" s="145"/>
      <c r="B10" s="146" t="s">
        <v>88</v>
      </c>
      <c r="C10" s="147" t="s">
        <v>63</v>
      </c>
      <c r="D10" s="148">
        <v>2</v>
      </c>
      <c r="E10" s="152">
        <f>E5</f>
        <v>640</v>
      </c>
      <c r="F10" s="152">
        <f>D10*E10</f>
        <v>1280</v>
      </c>
      <c r="G10" s="165"/>
      <c r="H10" s="151"/>
      <c r="I10" s="151"/>
      <c r="J10" s="152"/>
      <c r="K10" s="153"/>
      <c r="L10" s="165" t="s">
        <v>310</v>
      </c>
      <c r="M10" s="151"/>
      <c r="N10" s="166"/>
      <c r="O10" s="151"/>
      <c r="P10" s="157">
        <f>F10*3%</f>
        <v>38.4</v>
      </c>
    </row>
    <row r="11" spans="1:16" s="137" customFormat="1" ht="30" customHeight="1" x14ac:dyDescent="0.2">
      <c r="A11" s="158"/>
      <c r="B11" s="159"/>
      <c r="C11" s="160"/>
      <c r="D11" s="160"/>
      <c r="E11" s="161"/>
      <c r="F11" s="161"/>
      <c r="G11" s="161" t="s">
        <v>311</v>
      </c>
      <c r="H11" s="161"/>
      <c r="I11" s="161"/>
      <c r="J11" s="161"/>
      <c r="K11" s="161"/>
      <c r="L11" s="167">
        <f>P10+K10+F10</f>
        <v>1318.4</v>
      </c>
      <c r="M11" s="161"/>
      <c r="N11" s="161"/>
      <c r="O11" s="163"/>
      <c r="P11" s="164"/>
    </row>
    <row r="12" spans="1:16" s="142" customFormat="1" ht="15" customHeight="1" x14ac:dyDescent="0.2">
      <c r="A12" s="138" t="s">
        <v>303</v>
      </c>
      <c r="B12" s="139"/>
      <c r="C12" s="419" t="s">
        <v>313</v>
      </c>
      <c r="D12" s="419"/>
      <c r="E12" s="419"/>
      <c r="F12" s="419"/>
      <c r="G12" s="419"/>
      <c r="H12" s="419"/>
      <c r="I12" s="419"/>
      <c r="J12" s="419"/>
      <c r="K12" s="419"/>
      <c r="L12" s="419"/>
      <c r="M12" s="419"/>
      <c r="N12" s="140"/>
      <c r="O12" s="141" t="s">
        <v>305</v>
      </c>
      <c r="P12" s="138" t="s">
        <v>306</v>
      </c>
    </row>
    <row r="13" spans="1:16" s="142" customFormat="1" ht="15" customHeight="1" x14ac:dyDescent="0.2">
      <c r="A13" s="415" t="s">
        <v>307</v>
      </c>
      <c r="B13" s="417" t="s">
        <v>99</v>
      </c>
      <c r="C13" s="417"/>
      <c r="D13" s="417"/>
      <c r="E13" s="417"/>
      <c r="F13" s="417"/>
      <c r="G13" s="417" t="s">
        <v>100</v>
      </c>
      <c r="H13" s="417"/>
      <c r="I13" s="417"/>
      <c r="J13" s="417"/>
      <c r="K13" s="417"/>
      <c r="L13" s="417" t="s">
        <v>101</v>
      </c>
      <c r="M13" s="417"/>
      <c r="N13" s="417"/>
      <c r="O13" s="417"/>
      <c r="P13" s="418"/>
    </row>
    <row r="14" spans="1:16" s="142" customFormat="1" ht="15" customHeight="1" x14ac:dyDescent="0.2">
      <c r="A14" s="416"/>
      <c r="B14" s="143" t="s">
        <v>102</v>
      </c>
      <c r="C14" s="143" t="s">
        <v>2</v>
      </c>
      <c r="D14" s="143" t="s">
        <v>103</v>
      </c>
      <c r="E14" s="143" t="s">
        <v>104</v>
      </c>
      <c r="F14" s="143" t="s">
        <v>86</v>
      </c>
      <c r="G14" s="143" t="s">
        <v>102</v>
      </c>
      <c r="H14" s="143" t="s">
        <v>2</v>
      </c>
      <c r="I14" s="143" t="s">
        <v>103</v>
      </c>
      <c r="J14" s="143" t="s">
        <v>104</v>
      </c>
      <c r="K14" s="143" t="s">
        <v>86</v>
      </c>
      <c r="L14" s="143" t="s">
        <v>102</v>
      </c>
      <c r="M14" s="143" t="s">
        <v>2</v>
      </c>
      <c r="N14" s="143" t="s">
        <v>103</v>
      </c>
      <c r="O14" s="143" t="s">
        <v>104</v>
      </c>
      <c r="P14" s="144" t="s">
        <v>86</v>
      </c>
    </row>
    <row r="15" spans="1:16" s="142" customFormat="1" ht="15" customHeight="1" x14ac:dyDescent="0.2">
      <c r="A15" s="168" t="s">
        <v>314</v>
      </c>
      <c r="B15" s="169" t="s">
        <v>88</v>
      </c>
      <c r="C15" s="170" t="s">
        <v>63</v>
      </c>
      <c r="D15" s="171">
        <v>1.4</v>
      </c>
      <c r="E15" s="172">
        <f>E5</f>
        <v>640</v>
      </c>
      <c r="F15" s="172">
        <f>D15*E15</f>
        <v>896</v>
      </c>
      <c r="G15" s="172"/>
      <c r="H15" s="173"/>
      <c r="I15" s="173"/>
      <c r="J15" s="172"/>
      <c r="K15" s="174"/>
      <c r="L15" s="165" t="s">
        <v>310</v>
      </c>
      <c r="M15" s="173"/>
      <c r="N15" s="175"/>
      <c r="O15" s="173"/>
      <c r="P15" s="176">
        <f>F15*3%</f>
        <v>26.88</v>
      </c>
    </row>
    <row r="16" spans="1:16" s="142" customFormat="1" ht="18" customHeight="1" x14ac:dyDescent="0.2">
      <c r="A16" s="177"/>
      <c r="B16" s="178"/>
      <c r="C16" s="179"/>
      <c r="D16" s="180"/>
      <c r="E16" s="181"/>
      <c r="F16" s="181"/>
      <c r="G16" s="161" t="s">
        <v>311</v>
      </c>
      <c r="H16" s="182"/>
      <c r="I16" s="182"/>
      <c r="J16" s="181"/>
      <c r="K16" s="183"/>
      <c r="L16" s="162">
        <f>P15+K15+F15</f>
        <v>922.88</v>
      </c>
      <c r="M16" s="182"/>
      <c r="N16" s="184"/>
      <c r="O16" s="182"/>
      <c r="P16" s="185"/>
    </row>
  </sheetData>
  <mergeCells count="16">
    <mergeCell ref="A1:P1"/>
    <mergeCell ref="C2:M2"/>
    <mergeCell ref="A3:A4"/>
    <mergeCell ref="B3:F3"/>
    <mergeCell ref="G3:K3"/>
    <mergeCell ref="L3:P3"/>
    <mergeCell ref="A13:A14"/>
    <mergeCell ref="B13:F13"/>
    <mergeCell ref="G13:K13"/>
    <mergeCell ref="L13:P13"/>
    <mergeCell ref="C7:M7"/>
    <mergeCell ref="A8:A9"/>
    <mergeCell ref="B8:F8"/>
    <mergeCell ref="G8:K8"/>
    <mergeCell ref="L8:P8"/>
    <mergeCell ref="C12:M12"/>
  </mergeCells>
  <printOptions horizontalCentered="1"/>
  <pageMargins left="0.70866141732283472" right="0.70866141732283472" top="0.74803149606299213" bottom="0.74803149606299213" header="0.31496062992125984" footer="0.31496062992125984"/>
  <pageSetup scale="80" orientation="landscape" r:id="rId1"/>
  <headerFooter>
    <oddFooter>&amp;LPrepared By:&amp;CChecked By:&amp;RApproved By: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zoomScaleNormal="100" zoomScaleSheetLayoutView="100" workbookViewId="0">
      <selection activeCell="O11" sqref="O11"/>
    </sheetView>
  </sheetViews>
  <sheetFormatPr defaultRowHeight="15" x14ac:dyDescent="0.25"/>
  <cols>
    <col min="2" max="2" width="22.5703125" bestFit="1" customWidth="1"/>
    <col min="7" max="7" width="21.5703125" bestFit="1" customWidth="1"/>
    <col min="8" max="8" width="5.7109375" customWidth="1"/>
    <col min="9" max="9" width="11.28515625" customWidth="1"/>
    <col min="10" max="10" width="18.28515625" style="359" customWidth="1"/>
  </cols>
  <sheetData>
    <row r="1" spans="1:10" ht="15.75" thickBot="1" x14ac:dyDescent="0.3">
      <c r="A1" s="423" t="s">
        <v>318</v>
      </c>
      <c r="B1" s="424"/>
      <c r="C1" s="424"/>
      <c r="D1" s="424"/>
      <c r="E1" s="425"/>
      <c r="F1" s="200" t="s">
        <v>319</v>
      </c>
      <c r="G1" s="201"/>
      <c r="H1" s="201"/>
      <c r="I1" s="201"/>
      <c r="J1" s="352"/>
    </row>
    <row r="2" spans="1:10" ht="26.25" thickBot="1" x14ac:dyDescent="0.3">
      <c r="A2" s="202" t="s">
        <v>84</v>
      </c>
      <c r="B2" s="203" t="s">
        <v>320</v>
      </c>
      <c r="C2" s="204" t="s">
        <v>2</v>
      </c>
      <c r="D2" s="205" t="s">
        <v>321</v>
      </c>
      <c r="E2" s="206"/>
      <c r="F2" s="207" t="s">
        <v>84</v>
      </c>
      <c r="G2" s="208" t="s">
        <v>320</v>
      </c>
      <c r="H2" s="209" t="s">
        <v>2</v>
      </c>
      <c r="I2" s="210" t="s">
        <v>322</v>
      </c>
      <c r="J2" s="211" t="s">
        <v>323</v>
      </c>
    </row>
    <row r="3" spans="1:10" ht="15.75" x14ac:dyDescent="0.25">
      <c r="A3" s="212">
        <v>1</v>
      </c>
      <c r="B3" s="213" t="s">
        <v>194</v>
      </c>
      <c r="C3" s="214" t="s">
        <v>63</v>
      </c>
      <c r="D3" s="215">
        <v>1000</v>
      </c>
      <c r="E3" s="206"/>
      <c r="F3" s="216">
        <v>1</v>
      </c>
      <c r="G3" s="217" t="s">
        <v>31</v>
      </c>
      <c r="H3" s="218" t="s">
        <v>324</v>
      </c>
      <c r="I3" s="219">
        <v>1800</v>
      </c>
      <c r="J3" s="353"/>
    </row>
    <row r="4" spans="1:10" ht="15.75" x14ac:dyDescent="0.25">
      <c r="A4" s="221">
        <v>2</v>
      </c>
      <c r="B4" s="222" t="s">
        <v>325</v>
      </c>
      <c r="C4" s="223" t="s">
        <v>63</v>
      </c>
      <c r="D4" s="224">
        <v>685</v>
      </c>
      <c r="E4" s="206"/>
      <c r="F4" s="225">
        <v>2</v>
      </c>
      <c r="G4" s="217" t="s">
        <v>326</v>
      </c>
      <c r="H4" s="218" t="s">
        <v>324</v>
      </c>
      <c r="I4" s="219">
        <v>1200</v>
      </c>
      <c r="J4" s="353"/>
    </row>
    <row r="5" spans="1:10" x14ac:dyDescent="0.25">
      <c r="A5" s="226">
        <v>3</v>
      </c>
      <c r="B5" s="227" t="s">
        <v>327</v>
      </c>
      <c r="C5" s="228" t="s">
        <v>63</v>
      </c>
      <c r="D5" s="229">
        <v>640</v>
      </c>
      <c r="E5" s="206"/>
      <c r="F5" s="216">
        <v>3</v>
      </c>
      <c r="G5" s="217" t="s">
        <v>11</v>
      </c>
      <c r="H5" s="230" t="s">
        <v>328</v>
      </c>
      <c r="I5" s="219">
        <v>14000</v>
      </c>
      <c r="J5" s="353"/>
    </row>
    <row r="6" spans="1:10" x14ac:dyDescent="0.25">
      <c r="A6" s="221">
        <v>4</v>
      </c>
      <c r="B6" s="222" t="s">
        <v>329</v>
      </c>
      <c r="C6" s="223" t="s">
        <v>63</v>
      </c>
      <c r="D6" s="224">
        <v>850</v>
      </c>
      <c r="E6" s="206"/>
      <c r="F6" s="225">
        <v>4</v>
      </c>
      <c r="G6" s="217" t="s">
        <v>330</v>
      </c>
      <c r="H6" s="230" t="s">
        <v>331</v>
      </c>
      <c r="I6" s="219">
        <v>0.46</v>
      </c>
      <c r="J6" s="353"/>
    </row>
    <row r="7" spans="1:10" x14ac:dyDescent="0.25">
      <c r="A7" s="221">
        <v>5</v>
      </c>
      <c r="B7" s="222" t="s">
        <v>332</v>
      </c>
      <c r="C7" s="223" t="s">
        <v>63</v>
      </c>
      <c r="D7" s="224">
        <v>1300</v>
      </c>
      <c r="E7" s="206"/>
      <c r="F7" s="216">
        <v>5</v>
      </c>
      <c r="G7" s="217" t="s">
        <v>333</v>
      </c>
      <c r="H7" s="218"/>
      <c r="I7" s="231"/>
      <c r="J7" s="353"/>
    </row>
    <row r="8" spans="1:10" ht="16.5" thickBot="1" x14ac:dyDescent="0.3">
      <c r="A8" s="232">
        <v>6</v>
      </c>
      <c r="B8" s="233" t="s">
        <v>334</v>
      </c>
      <c r="C8" s="234" t="s">
        <v>63</v>
      </c>
      <c r="D8" s="235">
        <v>855</v>
      </c>
      <c r="E8" s="236"/>
      <c r="F8" s="216" t="s">
        <v>335</v>
      </c>
      <c r="G8" s="217" t="s">
        <v>336</v>
      </c>
      <c r="H8" s="218" t="s">
        <v>324</v>
      </c>
      <c r="I8" s="219">
        <v>2400</v>
      </c>
      <c r="J8" s="353"/>
    </row>
    <row r="9" spans="1:10" ht="15.75" x14ac:dyDescent="0.25">
      <c r="A9" s="237"/>
      <c r="B9" s="238"/>
      <c r="C9" s="237"/>
      <c r="D9" s="237"/>
      <c r="E9" s="236"/>
      <c r="F9" s="216" t="s">
        <v>337</v>
      </c>
      <c r="G9" s="239" t="s">
        <v>338</v>
      </c>
      <c r="H9" s="218" t="s">
        <v>324</v>
      </c>
      <c r="I9" s="219">
        <v>2400</v>
      </c>
      <c r="J9" s="353"/>
    </row>
    <row r="10" spans="1:10" ht="16.5" thickBot="1" x14ac:dyDescent="0.3">
      <c r="A10" s="426" t="s">
        <v>339</v>
      </c>
      <c r="B10" s="426"/>
      <c r="C10" s="426"/>
      <c r="D10" s="426"/>
      <c r="E10" s="426"/>
      <c r="F10" s="240" t="s">
        <v>340</v>
      </c>
      <c r="G10" s="241" t="s">
        <v>341</v>
      </c>
      <c r="H10" s="218" t="s">
        <v>324</v>
      </c>
      <c r="I10" s="219">
        <v>2400</v>
      </c>
      <c r="J10" s="353"/>
    </row>
    <row r="11" spans="1:10" x14ac:dyDescent="0.25">
      <c r="A11" s="242">
        <v>1</v>
      </c>
      <c r="B11" s="243" t="s">
        <v>342</v>
      </c>
      <c r="C11" s="244" t="s">
        <v>331</v>
      </c>
      <c r="D11" s="245">
        <v>98</v>
      </c>
      <c r="E11" s="246"/>
      <c r="F11" s="240">
        <v>6</v>
      </c>
      <c r="G11" s="217" t="s">
        <v>343</v>
      </c>
      <c r="H11" s="218"/>
      <c r="I11" s="247"/>
      <c r="J11" s="353"/>
    </row>
    <row r="12" spans="1:10" ht="15.75" thickBot="1" x14ac:dyDescent="0.3">
      <c r="A12" s="248">
        <v>2</v>
      </c>
      <c r="B12" s="249" t="s">
        <v>48</v>
      </c>
      <c r="C12" s="250" t="s">
        <v>331</v>
      </c>
      <c r="D12" s="251">
        <v>110</v>
      </c>
      <c r="E12" s="246"/>
      <c r="F12" s="252" t="s">
        <v>344</v>
      </c>
      <c r="G12" s="217" t="s">
        <v>345</v>
      </c>
      <c r="H12" s="218" t="s">
        <v>346</v>
      </c>
      <c r="I12" s="219">
        <v>3380</v>
      </c>
      <c r="J12" s="353"/>
    </row>
    <row r="13" spans="1:10" x14ac:dyDescent="0.25">
      <c r="A13" s="206"/>
      <c r="B13" s="206" t="s">
        <v>347</v>
      </c>
      <c r="C13" s="253">
        <v>44397</v>
      </c>
      <c r="D13" s="206"/>
      <c r="E13" s="254"/>
      <c r="F13" s="240" t="s">
        <v>348</v>
      </c>
      <c r="G13" s="217" t="s">
        <v>349</v>
      </c>
      <c r="H13" s="218" t="s">
        <v>346</v>
      </c>
      <c r="I13" s="219">
        <v>6650</v>
      </c>
      <c r="J13" s="353"/>
    </row>
    <row r="14" spans="1:10" ht="15.75" thickBot="1" x14ac:dyDescent="0.3">
      <c r="A14" s="237"/>
      <c r="B14" s="255"/>
      <c r="C14" s="238"/>
      <c r="D14" s="238"/>
      <c r="E14" s="256"/>
      <c r="F14" s="252" t="s">
        <v>350</v>
      </c>
      <c r="G14" s="217" t="s">
        <v>351</v>
      </c>
      <c r="H14" s="218" t="s">
        <v>346</v>
      </c>
      <c r="I14" s="219">
        <v>11500</v>
      </c>
      <c r="J14" s="353"/>
    </row>
    <row r="15" spans="1:10" ht="15.75" thickBot="1" x14ac:dyDescent="0.3">
      <c r="A15" s="257" t="s">
        <v>352</v>
      </c>
      <c r="B15" s="258"/>
      <c r="C15" s="259"/>
      <c r="D15" s="258"/>
      <c r="E15" s="260"/>
      <c r="F15" s="216">
        <v>7</v>
      </c>
      <c r="G15" s="218" t="s">
        <v>353</v>
      </c>
      <c r="H15" s="261"/>
      <c r="I15" s="262"/>
      <c r="J15" s="353"/>
    </row>
    <row r="16" spans="1:10" ht="15.75" thickBot="1" x14ac:dyDescent="0.3">
      <c r="A16" s="311"/>
      <c r="B16" s="259"/>
      <c r="C16" s="259"/>
      <c r="D16" s="259"/>
      <c r="E16" s="260"/>
      <c r="F16" s="216" t="s">
        <v>463</v>
      </c>
      <c r="G16" s="312" t="s">
        <v>464</v>
      </c>
      <c r="H16" s="273" t="s">
        <v>328</v>
      </c>
      <c r="I16" s="219">
        <v>79600</v>
      </c>
      <c r="J16" s="353"/>
    </row>
    <row r="17" spans="1:10" x14ac:dyDescent="0.25">
      <c r="A17" s="427" t="s">
        <v>0</v>
      </c>
      <c r="B17" s="429" t="s">
        <v>320</v>
      </c>
      <c r="C17" s="429" t="s">
        <v>2</v>
      </c>
      <c r="D17" s="431" t="s">
        <v>354</v>
      </c>
      <c r="E17" s="433"/>
      <c r="F17" s="252" t="s">
        <v>355</v>
      </c>
      <c r="G17" s="217" t="s">
        <v>465</v>
      </c>
      <c r="H17" s="218" t="s">
        <v>328</v>
      </c>
      <c r="I17" s="219">
        <v>75500</v>
      </c>
      <c r="J17" s="353"/>
    </row>
    <row r="18" spans="1:10" x14ac:dyDescent="0.25">
      <c r="A18" s="428"/>
      <c r="B18" s="430"/>
      <c r="C18" s="430"/>
      <c r="D18" s="432"/>
      <c r="E18" s="433"/>
      <c r="F18" s="252" t="s">
        <v>356</v>
      </c>
      <c r="G18" s="217" t="s">
        <v>466</v>
      </c>
      <c r="H18" s="218" t="s">
        <v>328</v>
      </c>
      <c r="I18" s="219">
        <v>76500</v>
      </c>
      <c r="J18" s="353"/>
    </row>
    <row r="19" spans="1:10" x14ac:dyDescent="0.25">
      <c r="A19" s="221">
        <v>1</v>
      </c>
      <c r="B19" s="263" t="s">
        <v>357</v>
      </c>
      <c r="C19" s="264" t="s">
        <v>358</v>
      </c>
      <c r="D19" s="265">
        <v>460</v>
      </c>
      <c r="E19" s="266"/>
      <c r="F19" s="216">
        <v>8</v>
      </c>
      <c r="G19" s="218" t="s">
        <v>359</v>
      </c>
      <c r="H19" s="218"/>
      <c r="I19" s="267"/>
      <c r="J19" s="353"/>
    </row>
    <row r="20" spans="1:10" x14ac:dyDescent="0.25">
      <c r="A20" s="221">
        <v>2</v>
      </c>
      <c r="B20" s="263" t="s">
        <v>360</v>
      </c>
      <c r="C20" s="264" t="s">
        <v>358</v>
      </c>
      <c r="D20" s="265">
        <v>630</v>
      </c>
      <c r="E20" s="266"/>
      <c r="F20" s="252" t="s">
        <v>361</v>
      </c>
      <c r="G20" s="217" t="s">
        <v>362</v>
      </c>
      <c r="H20" s="218" t="s">
        <v>39</v>
      </c>
      <c r="I20" s="219">
        <v>88.8</v>
      </c>
      <c r="J20" s="354"/>
    </row>
    <row r="21" spans="1:10" x14ac:dyDescent="0.25">
      <c r="A21" s="221">
        <v>3</v>
      </c>
      <c r="B21" s="263" t="s">
        <v>363</v>
      </c>
      <c r="C21" s="264" t="s">
        <v>358</v>
      </c>
      <c r="D21" s="265">
        <v>696</v>
      </c>
      <c r="E21" s="266"/>
      <c r="F21" s="252" t="s">
        <v>364</v>
      </c>
      <c r="G21" s="217" t="s">
        <v>365</v>
      </c>
      <c r="H21" s="218" t="s">
        <v>39</v>
      </c>
      <c r="I21" s="219">
        <v>88.8</v>
      </c>
      <c r="J21" s="354"/>
    </row>
    <row r="22" spans="1:10" x14ac:dyDescent="0.25">
      <c r="A22" s="221">
        <v>4</v>
      </c>
      <c r="B22" s="263" t="s">
        <v>366</v>
      </c>
      <c r="C22" s="264" t="s">
        <v>358</v>
      </c>
      <c r="D22" s="265">
        <v>1900</v>
      </c>
      <c r="E22" s="266"/>
      <c r="F22" s="216">
        <v>9</v>
      </c>
      <c r="G22" s="218" t="s">
        <v>367</v>
      </c>
      <c r="H22" s="218"/>
      <c r="I22" s="247"/>
      <c r="J22" s="353"/>
    </row>
    <row r="23" spans="1:10" x14ac:dyDescent="0.25">
      <c r="A23" s="221">
        <v>5</v>
      </c>
      <c r="B23" s="263" t="s">
        <v>368</v>
      </c>
      <c r="C23" s="264" t="s">
        <v>358</v>
      </c>
      <c r="D23" s="265">
        <v>170</v>
      </c>
      <c r="E23" s="266"/>
      <c r="F23" s="252" t="s">
        <v>369</v>
      </c>
      <c r="G23" s="217" t="s">
        <v>370</v>
      </c>
      <c r="H23" s="218" t="s">
        <v>39</v>
      </c>
      <c r="I23" s="219">
        <v>93</v>
      </c>
      <c r="J23" s="354"/>
    </row>
    <row r="24" spans="1:10" x14ac:dyDescent="0.25">
      <c r="A24" s="221">
        <v>6</v>
      </c>
      <c r="B24" s="263" t="s">
        <v>371</v>
      </c>
      <c r="C24" s="264" t="s">
        <v>358</v>
      </c>
      <c r="D24" s="268">
        <v>1100</v>
      </c>
      <c r="E24" s="266"/>
      <c r="F24" s="252" t="s">
        <v>372</v>
      </c>
      <c r="G24" s="217" t="s">
        <v>373</v>
      </c>
      <c r="H24" s="218" t="s">
        <v>39</v>
      </c>
      <c r="I24" s="219">
        <v>93</v>
      </c>
      <c r="J24" s="354"/>
    </row>
    <row r="25" spans="1:10" x14ac:dyDescent="0.25">
      <c r="A25" s="221">
        <v>7</v>
      </c>
      <c r="B25" s="263" t="s">
        <v>374</v>
      </c>
      <c r="C25" s="264" t="s">
        <v>358</v>
      </c>
      <c r="D25" s="268">
        <v>600</v>
      </c>
      <c r="E25" s="266"/>
      <c r="F25" s="252" t="s">
        <v>375</v>
      </c>
      <c r="G25" s="217" t="s">
        <v>376</v>
      </c>
      <c r="H25" s="218" t="s">
        <v>39</v>
      </c>
      <c r="I25" s="219">
        <v>93</v>
      </c>
      <c r="J25" s="354"/>
    </row>
    <row r="26" spans="1:10" x14ac:dyDescent="0.25">
      <c r="A26" s="221">
        <v>8</v>
      </c>
      <c r="B26" s="263" t="s">
        <v>377</v>
      </c>
      <c r="C26" s="264" t="s">
        <v>358</v>
      </c>
      <c r="D26" s="265">
        <v>750</v>
      </c>
      <c r="E26" s="266"/>
      <c r="F26" s="252">
        <v>10</v>
      </c>
      <c r="G26" s="217" t="s">
        <v>378</v>
      </c>
      <c r="H26" s="218" t="s">
        <v>379</v>
      </c>
      <c r="I26" s="219">
        <v>90</v>
      </c>
      <c r="J26" s="354"/>
    </row>
    <row r="27" spans="1:10" ht="25.5" x14ac:dyDescent="0.25">
      <c r="A27" s="221">
        <v>9</v>
      </c>
      <c r="B27" s="263" t="s">
        <v>192</v>
      </c>
      <c r="C27" s="264" t="s">
        <v>358</v>
      </c>
      <c r="D27" s="268">
        <v>2500</v>
      </c>
      <c r="E27" s="266"/>
      <c r="F27" s="252" t="s">
        <v>380</v>
      </c>
      <c r="G27" s="217" t="s">
        <v>381</v>
      </c>
      <c r="H27" s="218" t="s">
        <v>346</v>
      </c>
      <c r="I27" s="219">
        <v>693</v>
      </c>
      <c r="J27" s="355"/>
    </row>
    <row r="28" spans="1:10" ht="25.5" x14ac:dyDescent="0.25">
      <c r="A28" s="221">
        <v>10</v>
      </c>
      <c r="B28" s="263" t="s">
        <v>382</v>
      </c>
      <c r="C28" s="264" t="s">
        <v>358</v>
      </c>
      <c r="D28" s="265">
        <v>140</v>
      </c>
      <c r="E28" s="266"/>
      <c r="F28" s="252" t="s">
        <v>383</v>
      </c>
      <c r="G28" s="217" t="s">
        <v>384</v>
      </c>
      <c r="H28" s="218" t="s">
        <v>346</v>
      </c>
      <c r="I28" s="219">
        <v>1133</v>
      </c>
      <c r="J28" s="355"/>
    </row>
    <row r="29" spans="1:10" ht="25.5" x14ac:dyDescent="0.25">
      <c r="A29" s="221">
        <v>11</v>
      </c>
      <c r="B29" s="263" t="s">
        <v>385</v>
      </c>
      <c r="C29" s="264" t="s">
        <v>358</v>
      </c>
      <c r="D29" s="265">
        <v>260</v>
      </c>
      <c r="E29" s="266"/>
      <c r="F29" s="252">
        <v>12</v>
      </c>
      <c r="G29" s="217" t="s">
        <v>386</v>
      </c>
      <c r="H29" s="218" t="s">
        <v>346</v>
      </c>
      <c r="I29" s="219">
        <v>1691</v>
      </c>
      <c r="J29" s="354"/>
    </row>
    <row r="30" spans="1:10" x14ac:dyDescent="0.25">
      <c r="A30" s="221">
        <v>12</v>
      </c>
      <c r="B30" s="263" t="s">
        <v>387</v>
      </c>
      <c r="C30" s="264" t="s">
        <v>358</v>
      </c>
      <c r="D30" s="268">
        <v>380</v>
      </c>
      <c r="E30" s="266"/>
      <c r="F30" s="252">
        <v>13</v>
      </c>
      <c r="G30" s="217" t="s">
        <v>388</v>
      </c>
      <c r="H30" s="218" t="s">
        <v>328</v>
      </c>
      <c r="I30" s="269">
        <v>95000</v>
      </c>
      <c r="J30" s="354">
        <v>70000</v>
      </c>
    </row>
    <row r="31" spans="1:10" x14ac:dyDescent="0.25">
      <c r="A31" s="221">
        <v>13</v>
      </c>
      <c r="B31" s="263" t="s">
        <v>389</v>
      </c>
      <c r="C31" s="264" t="s">
        <v>358</v>
      </c>
      <c r="D31" s="265">
        <v>260</v>
      </c>
      <c r="E31" s="266"/>
      <c r="F31" s="252">
        <v>14</v>
      </c>
      <c r="G31" s="217" t="s">
        <v>390</v>
      </c>
      <c r="H31" s="218" t="s">
        <v>248</v>
      </c>
      <c r="I31" s="219">
        <v>500</v>
      </c>
      <c r="J31" s="354"/>
    </row>
    <row r="32" spans="1:10" x14ac:dyDescent="0.25">
      <c r="A32" s="221">
        <v>14</v>
      </c>
      <c r="B32" s="270" t="s">
        <v>391</v>
      </c>
      <c r="C32" s="264" t="s">
        <v>358</v>
      </c>
      <c r="D32" s="265">
        <v>130</v>
      </c>
      <c r="E32" s="266"/>
      <c r="F32" s="252">
        <v>15</v>
      </c>
      <c r="G32" s="217" t="s">
        <v>392</v>
      </c>
      <c r="H32" s="218" t="s">
        <v>39</v>
      </c>
      <c r="I32" s="247">
        <v>155</v>
      </c>
      <c r="J32" s="353"/>
    </row>
    <row r="33" spans="1:10" x14ac:dyDescent="0.25">
      <c r="A33" s="221">
        <v>15</v>
      </c>
      <c r="B33" s="263" t="s">
        <v>393</v>
      </c>
      <c r="C33" s="264" t="s">
        <v>358</v>
      </c>
      <c r="D33" s="268">
        <v>1450</v>
      </c>
      <c r="E33" s="266"/>
      <c r="F33" s="252" t="s">
        <v>394</v>
      </c>
      <c r="G33" s="217" t="s">
        <v>395</v>
      </c>
      <c r="H33" s="271" t="s">
        <v>30</v>
      </c>
      <c r="I33" s="219">
        <v>640</v>
      </c>
      <c r="J33" s="354"/>
    </row>
    <row r="34" spans="1:10" x14ac:dyDescent="0.25">
      <c r="A34" s="221">
        <v>16</v>
      </c>
      <c r="B34" s="263" t="s">
        <v>396</v>
      </c>
      <c r="C34" s="264" t="s">
        <v>358</v>
      </c>
      <c r="D34" s="268">
        <v>630</v>
      </c>
      <c r="E34" s="266"/>
      <c r="F34" s="252" t="s">
        <v>397</v>
      </c>
      <c r="G34" s="217" t="s">
        <v>398</v>
      </c>
      <c r="H34" s="271" t="s">
        <v>30</v>
      </c>
      <c r="I34" s="219">
        <v>800</v>
      </c>
      <c r="J34" s="353"/>
    </row>
    <row r="35" spans="1:10" x14ac:dyDescent="0.25">
      <c r="A35" s="272">
        <v>17</v>
      </c>
      <c r="B35" s="263" t="s">
        <v>399</v>
      </c>
      <c r="C35" s="264" t="s">
        <v>358</v>
      </c>
      <c r="D35" s="265">
        <v>160</v>
      </c>
      <c r="E35" s="246"/>
      <c r="F35" s="252">
        <v>17</v>
      </c>
      <c r="G35" s="239" t="s">
        <v>400</v>
      </c>
      <c r="H35" s="273" t="s">
        <v>39</v>
      </c>
      <c r="I35" s="219">
        <v>207</v>
      </c>
      <c r="J35" s="354"/>
    </row>
    <row r="36" spans="1:10" x14ac:dyDescent="0.25">
      <c r="A36" s="272">
        <v>18</v>
      </c>
      <c r="B36" s="263" t="s">
        <v>75</v>
      </c>
      <c r="C36" s="274" t="s">
        <v>358</v>
      </c>
      <c r="D36" s="268">
        <v>10</v>
      </c>
      <c r="E36" s="266"/>
      <c r="F36" s="252">
        <v>18</v>
      </c>
      <c r="G36" s="275" t="s">
        <v>401</v>
      </c>
      <c r="H36" s="273" t="s">
        <v>39</v>
      </c>
      <c r="I36" s="219">
        <v>20</v>
      </c>
      <c r="J36" s="353"/>
    </row>
    <row r="37" spans="1:10" ht="15.75" x14ac:dyDescent="0.25">
      <c r="A37" s="272">
        <v>19</v>
      </c>
      <c r="B37" s="263" t="s">
        <v>402</v>
      </c>
      <c r="C37" s="274" t="s">
        <v>358</v>
      </c>
      <c r="D37" s="265">
        <v>1700</v>
      </c>
      <c r="E37" s="266"/>
      <c r="F37" s="252">
        <v>19</v>
      </c>
      <c r="G37" s="275" t="s">
        <v>403</v>
      </c>
      <c r="H37" s="218" t="s">
        <v>324</v>
      </c>
      <c r="I37" s="219">
        <v>42336</v>
      </c>
      <c r="J37" s="353"/>
    </row>
    <row r="38" spans="1:10" ht="15.75" x14ac:dyDescent="0.25">
      <c r="A38" s="272">
        <v>20</v>
      </c>
      <c r="B38" s="263" t="s">
        <v>404</v>
      </c>
      <c r="C38" s="274" t="s">
        <v>358</v>
      </c>
      <c r="D38" s="265">
        <v>1540</v>
      </c>
      <c r="E38" s="266"/>
      <c r="F38" s="252">
        <v>20</v>
      </c>
      <c r="G38" s="241" t="s">
        <v>405</v>
      </c>
      <c r="H38" s="218" t="s">
        <v>324</v>
      </c>
      <c r="I38" s="219">
        <v>42336</v>
      </c>
      <c r="J38" s="353"/>
    </row>
    <row r="39" spans="1:10" x14ac:dyDescent="0.25">
      <c r="A39" s="272">
        <v>21</v>
      </c>
      <c r="B39" s="263" t="s">
        <v>80</v>
      </c>
      <c r="C39" s="274" t="s">
        <v>358</v>
      </c>
      <c r="D39" s="268">
        <f>basic_rates!D61</f>
        <v>930</v>
      </c>
      <c r="E39" s="266"/>
      <c r="F39" s="252">
        <v>21</v>
      </c>
      <c r="G39" s="239" t="s">
        <v>406</v>
      </c>
      <c r="H39" s="273" t="s">
        <v>39</v>
      </c>
      <c r="I39" s="219">
        <v>103</v>
      </c>
      <c r="J39" s="354"/>
    </row>
    <row r="40" spans="1:10" ht="15.75" x14ac:dyDescent="0.25">
      <c r="A40" s="272">
        <v>22</v>
      </c>
      <c r="B40" s="276" t="s">
        <v>407</v>
      </c>
      <c r="C40" s="277" t="s">
        <v>358</v>
      </c>
      <c r="D40" s="265">
        <v>3500</v>
      </c>
      <c r="E40" s="246"/>
      <c r="F40" s="252">
        <v>22</v>
      </c>
      <c r="G40" s="217" t="s">
        <v>408</v>
      </c>
      <c r="H40" s="218" t="s">
        <v>324</v>
      </c>
      <c r="I40" s="219">
        <v>3000</v>
      </c>
      <c r="J40" s="353"/>
    </row>
    <row r="41" spans="1:10" ht="25.5" x14ac:dyDescent="0.25">
      <c r="A41" s="272">
        <v>23</v>
      </c>
      <c r="B41" s="278" t="s">
        <v>409</v>
      </c>
      <c r="C41" s="277" t="s">
        <v>358</v>
      </c>
      <c r="D41" s="265">
        <v>3500</v>
      </c>
      <c r="E41" s="279"/>
      <c r="F41" s="252">
        <v>23</v>
      </c>
      <c r="G41" s="275" t="s">
        <v>410</v>
      </c>
      <c r="H41" s="218" t="s">
        <v>324</v>
      </c>
      <c r="I41" s="219">
        <v>42336</v>
      </c>
      <c r="J41" s="353"/>
    </row>
    <row r="42" spans="1:10" ht="38.25" x14ac:dyDescent="0.25">
      <c r="A42" s="272">
        <v>24</v>
      </c>
      <c r="B42" s="278" t="s">
        <v>411</v>
      </c>
      <c r="C42" s="274" t="s">
        <v>358</v>
      </c>
      <c r="D42" s="280">
        <v>1176</v>
      </c>
      <c r="E42" s="281"/>
      <c r="F42" s="252">
        <v>24</v>
      </c>
      <c r="G42" s="275" t="s">
        <v>412</v>
      </c>
      <c r="H42" s="273" t="s">
        <v>413</v>
      </c>
      <c r="I42" s="219">
        <v>67500</v>
      </c>
      <c r="J42" s="353" t="s">
        <v>14</v>
      </c>
    </row>
    <row r="43" spans="1:10" x14ac:dyDescent="0.25">
      <c r="A43" s="221">
        <v>25</v>
      </c>
      <c r="B43" s="282" t="s">
        <v>414</v>
      </c>
      <c r="C43" s="277" t="s">
        <v>358</v>
      </c>
      <c r="D43" s="265">
        <v>1150</v>
      </c>
      <c r="E43" s="283"/>
      <c r="F43" s="252" t="s">
        <v>415</v>
      </c>
      <c r="G43" s="275" t="s">
        <v>416</v>
      </c>
      <c r="H43" s="273" t="s">
        <v>413</v>
      </c>
      <c r="I43" s="219">
        <v>75000</v>
      </c>
      <c r="J43" s="353" t="s">
        <v>14</v>
      </c>
    </row>
    <row r="44" spans="1:10" x14ac:dyDescent="0.25">
      <c r="A44" s="221">
        <v>26</v>
      </c>
      <c r="B44" s="282" t="s">
        <v>417</v>
      </c>
      <c r="C44" s="277" t="s">
        <v>358</v>
      </c>
      <c r="D44" s="265">
        <v>1150</v>
      </c>
      <c r="E44" s="284"/>
      <c r="F44" s="252">
        <v>25</v>
      </c>
      <c r="G44" s="241" t="s">
        <v>418</v>
      </c>
      <c r="H44" s="273" t="s">
        <v>346</v>
      </c>
      <c r="I44" s="219">
        <v>27000</v>
      </c>
      <c r="J44" s="353" t="s">
        <v>14</v>
      </c>
    </row>
    <row r="45" spans="1:10" ht="15.75" x14ac:dyDescent="0.25">
      <c r="A45" s="221">
        <v>27</v>
      </c>
      <c r="B45" s="285" t="s">
        <v>419</v>
      </c>
      <c r="C45" s="277" t="s">
        <v>358</v>
      </c>
      <c r="D45" s="286">
        <v>1768</v>
      </c>
      <c r="E45" s="284"/>
      <c r="F45" s="252">
        <v>26</v>
      </c>
      <c r="G45" s="241" t="s">
        <v>420</v>
      </c>
      <c r="H45" s="218" t="s">
        <v>324</v>
      </c>
      <c r="I45" s="247">
        <v>300</v>
      </c>
      <c r="J45" s="356"/>
    </row>
    <row r="46" spans="1:10" ht="15.75" x14ac:dyDescent="0.25">
      <c r="A46" s="221">
        <v>28</v>
      </c>
      <c r="B46" s="287" t="s">
        <v>421</v>
      </c>
      <c r="C46" s="288" t="s">
        <v>358</v>
      </c>
      <c r="D46" s="289">
        <v>25</v>
      </c>
      <c r="E46" s="284"/>
      <c r="F46" s="252">
        <v>27</v>
      </c>
      <c r="G46" s="241" t="s">
        <v>422</v>
      </c>
      <c r="H46" s="218" t="s">
        <v>324</v>
      </c>
      <c r="I46" s="219">
        <v>2000</v>
      </c>
      <c r="J46" s="353"/>
    </row>
    <row r="47" spans="1:10" ht="15.75" x14ac:dyDescent="0.25">
      <c r="A47" s="221">
        <v>29</v>
      </c>
      <c r="B47" s="287" t="s">
        <v>423</v>
      </c>
      <c r="C47" s="290" t="s">
        <v>358</v>
      </c>
      <c r="D47" s="289">
        <v>50</v>
      </c>
      <c r="E47" s="283"/>
      <c r="F47" s="252">
        <v>28</v>
      </c>
      <c r="G47" s="275" t="s">
        <v>424</v>
      </c>
      <c r="H47" s="218" t="s">
        <v>425</v>
      </c>
      <c r="I47" s="219">
        <v>2000</v>
      </c>
      <c r="J47" s="353"/>
    </row>
    <row r="48" spans="1:10" x14ac:dyDescent="0.25">
      <c r="A48" s="221">
        <v>30</v>
      </c>
      <c r="B48" s="287" t="s">
        <v>426</v>
      </c>
      <c r="C48" s="288" t="s">
        <v>358</v>
      </c>
      <c r="D48" s="289">
        <v>50</v>
      </c>
      <c r="E48" s="283"/>
      <c r="F48" s="252">
        <v>29</v>
      </c>
      <c r="G48" s="239" t="s">
        <v>427</v>
      </c>
      <c r="H48" s="291" t="s">
        <v>28</v>
      </c>
      <c r="I48" s="247">
        <v>50</v>
      </c>
      <c r="J48" s="353"/>
    </row>
    <row r="49" spans="1:10" ht="18" x14ac:dyDescent="0.25">
      <c r="A49" s="221">
        <v>31</v>
      </c>
      <c r="B49" s="287" t="s">
        <v>428</v>
      </c>
      <c r="C49" s="290" t="s">
        <v>358</v>
      </c>
      <c r="D49" s="289">
        <v>700</v>
      </c>
      <c r="E49" s="283"/>
      <c r="F49" s="252">
        <v>30</v>
      </c>
      <c r="G49" s="239" t="s">
        <v>429</v>
      </c>
      <c r="H49" s="292" t="s">
        <v>430</v>
      </c>
      <c r="I49" s="219">
        <v>100</v>
      </c>
      <c r="J49" s="353"/>
    </row>
    <row r="50" spans="1:10" x14ac:dyDescent="0.25">
      <c r="A50" s="221">
        <v>32</v>
      </c>
      <c r="B50" s="293" t="s">
        <v>431</v>
      </c>
      <c r="C50" s="288" t="s">
        <v>358</v>
      </c>
      <c r="D50" s="289">
        <v>260</v>
      </c>
      <c r="E50" s="283"/>
      <c r="F50" s="252">
        <v>31</v>
      </c>
      <c r="G50" s="239" t="s">
        <v>432</v>
      </c>
      <c r="H50" s="292" t="s">
        <v>39</v>
      </c>
      <c r="I50" s="247">
        <v>300</v>
      </c>
      <c r="J50" s="353"/>
    </row>
    <row r="51" spans="1:10" x14ac:dyDescent="0.25">
      <c r="A51" s="221">
        <v>33</v>
      </c>
      <c r="B51" s="293" t="s">
        <v>433</v>
      </c>
      <c r="C51" s="290" t="s">
        <v>358</v>
      </c>
      <c r="D51" s="289">
        <v>440</v>
      </c>
      <c r="E51" s="283"/>
      <c r="F51" s="252">
        <v>32</v>
      </c>
      <c r="G51" s="261" t="s">
        <v>434</v>
      </c>
      <c r="H51" s="294" t="s">
        <v>205</v>
      </c>
      <c r="I51" s="262">
        <v>350</v>
      </c>
      <c r="J51" s="353"/>
    </row>
    <row r="52" spans="1:10" ht="26.25" x14ac:dyDescent="0.25">
      <c r="A52" s="221">
        <v>34</v>
      </c>
      <c r="B52" s="293" t="s">
        <v>435</v>
      </c>
      <c r="C52" s="274" t="s">
        <v>358</v>
      </c>
      <c r="D52" s="295">
        <v>1800</v>
      </c>
      <c r="E52" s="283"/>
      <c r="F52" s="252">
        <v>33</v>
      </c>
      <c r="G52" s="261" t="s">
        <v>436</v>
      </c>
      <c r="H52" s="294" t="s">
        <v>346</v>
      </c>
      <c r="I52" s="296">
        <v>398.7</v>
      </c>
      <c r="J52" s="357" t="s">
        <v>437</v>
      </c>
    </row>
    <row r="53" spans="1:10" x14ac:dyDescent="0.25">
      <c r="A53" s="221">
        <v>35</v>
      </c>
      <c r="B53" s="297" t="s">
        <v>438</v>
      </c>
      <c r="C53" s="277" t="s">
        <v>358</v>
      </c>
      <c r="D53" s="298">
        <v>326</v>
      </c>
      <c r="E53" s="283"/>
      <c r="F53" s="252">
        <v>34</v>
      </c>
      <c r="G53" s="261" t="s">
        <v>439</v>
      </c>
      <c r="H53" s="294" t="s">
        <v>440</v>
      </c>
      <c r="I53" s="296">
        <v>350</v>
      </c>
      <c r="J53" s="358" t="s">
        <v>441</v>
      </c>
    </row>
    <row r="54" spans="1:10" ht="16.5" thickBot="1" x14ac:dyDescent="0.3">
      <c r="A54" s="232">
        <v>36</v>
      </c>
      <c r="B54" s="299" t="s">
        <v>442</v>
      </c>
      <c r="C54" s="234" t="s">
        <v>358</v>
      </c>
      <c r="D54" s="220">
        <v>600</v>
      </c>
      <c r="E54" s="300"/>
      <c r="F54" s="252">
        <v>35</v>
      </c>
      <c r="G54" s="261" t="s">
        <v>443</v>
      </c>
      <c r="H54" s="218" t="s">
        <v>425</v>
      </c>
      <c r="I54" s="296">
        <v>50</v>
      </c>
      <c r="J54" s="358"/>
    </row>
    <row r="55" spans="1:10" x14ac:dyDescent="0.25">
      <c r="A55" s="278">
        <v>37</v>
      </c>
      <c r="B55" s="278" t="s">
        <v>444</v>
      </c>
      <c r="C55" s="277" t="s">
        <v>358</v>
      </c>
      <c r="D55" s="220">
        <v>130</v>
      </c>
      <c r="E55" s="300"/>
      <c r="F55" s="252">
        <v>36</v>
      </c>
      <c r="G55" s="261" t="s">
        <v>445</v>
      </c>
      <c r="H55" s="294" t="s">
        <v>39</v>
      </c>
      <c r="I55" s="296">
        <v>155</v>
      </c>
      <c r="J55" s="353"/>
    </row>
    <row r="56" spans="1:10" x14ac:dyDescent="0.25">
      <c r="A56" s="278">
        <v>38</v>
      </c>
      <c r="B56" s="278" t="s">
        <v>446</v>
      </c>
      <c r="C56" s="277" t="s">
        <v>358</v>
      </c>
      <c r="D56" s="298">
        <v>2500</v>
      </c>
      <c r="E56" s="300"/>
      <c r="F56" s="252">
        <v>37</v>
      </c>
      <c r="G56" s="261" t="s">
        <v>447</v>
      </c>
      <c r="H56" s="294" t="s">
        <v>39</v>
      </c>
      <c r="I56" s="296">
        <v>95</v>
      </c>
      <c r="J56" s="353" t="s">
        <v>448</v>
      </c>
    </row>
    <row r="57" spans="1:10" x14ac:dyDescent="0.25">
      <c r="A57" s="278">
        <v>39</v>
      </c>
      <c r="B57" s="278" t="s">
        <v>449</v>
      </c>
      <c r="C57" s="277" t="s">
        <v>358</v>
      </c>
      <c r="D57" s="298">
        <v>2500</v>
      </c>
      <c r="E57" s="300"/>
      <c r="F57" s="252">
        <v>38</v>
      </c>
      <c r="G57" s="261" t="s">
        <v>450</v>
      </c>
      <c r="H57" s="294" t="s">
        <v>39</v>
      </c>
      <c r="I57" s="296">
        <v>320</v>
      </c>
      <c r="J57" s="353"/>
    </row>
    <row r="58" spans="1:10" x14ac:dyDescent="0.25">
      <c r="A58" s="278">
        <v>40</v>
      </c>
      <c r="B58" s="278" t="s">
        <v>451</v>
      </c>
      <c r="C58" s="277" t="s">
        <v>358</v>
      </c>
      <c r="D58" s="298">
        <v>72</v>
      </c>
      <c r="E58" s="300"/>
      <c r="F58" s="252">
        <v>39</v>
      </c>
      <c r="G58" s="261" t="s">
        <v>452</v>
      </c>
      <c r="H58" s="294" t="s">
        <v>453</v>
      </c>
      <c r="I58" s="296">
        <v>72000</v>
      </c>
      <c r="J58" s="353"/>
    </row>
    <row r="59" spans="1:10" x14ac:dyDescent="0.25">
      <c r="A59" s="278">
        <v>41</v>
      </c>
      <c r="B59" s="278" t="s">
        <v>454</v>
      </c>
      <c r="C59" s="277" t="s">
        <v>358</v>
      </c>
      <c r="D59" s="298">
        <v>380</v>
      </c>
      <c r="E59" s="300"/>
      <c r="F59" s="252">
        <v>40</v>
      </c>
      <c r="G59" s="261" t="s">
        <v>455</v>
      </c>
      <c r="H59" s="294" t="s">
        <v>453</v>
      </c>
      <c r="I59" s="296">
        <v>1000</v>
      </c>
      <c r="J59" s="353"/>
    </row>
    <row r="60" spans="1:10" x14ac:dyDescent="0.25">
      <c r="A60" s="278">
        <v>42</v>
      </c>
      <c r="B60" s="278" t="s">
        <v>456</v>
      </c>
      <c r="C60" s="277" t="s">
        <v>358</v>
      </c>
      <c r="D60" s="298">
        <v>2357</v>
      </c>
      <c r="E60" s="300"/>
      <c r="F60" s="421" t="s">
        <v>457</v>
      </c>
      <c r="G60" s="422"/>
      <c r="H60" s="294"/>
      <c r="I60" s="262"/>
      <c r="J60" s="353"/>
    </row>
    <row r="61" spans="1:10" x14ac:dyDescent="0.25">
      <c r="A61" s="278"/>
      <c r="B61" s="278"/>
      <c r="C61" s="277"/>
      <c r="D61" s="277"/>
      <c r="E61" s="301"/>
      <c r="F61" s="302">
        <v>30</v>
      </c>
      <c r="G61" s="303" t="s">
        <v>458</v>
      </c>
      <c r="H61" s="304" t="s">
        <v>453</v>
      </c>
      <c r="I61" s="305">
        <v>114000</v>
      </c>
      <c r="J61" s="353" t="s">
        <v>14</v>
      </c>
    </row>
    <row r="62" spans="1:10" x14ac:dyDescent="0.25">
      <c r="A62" s="306"/>
      <c r="B62" s="306"/>
      <c r="C62" s="306"/>
      <c r="D62" s="306"/>
      <c r="E62" s="301"/>
      <c r="F62" s="302">
        <v>31</v>
      </c>
      <c r="G62" s="261" t="s">
        <v>459</v>
      </c>
      <c r="H62" s="294" t="s">
        <v>205</v>
      </c>
      <c r="I62" s="296">
        <v>350</v>
      </c>
      <c r="J62" s="353" t="s">
        <v>14</v>
      </c>
    </row>
    <row r="63" spans="1:10" x14ac:dyDescent="0.25">
      <c r="A63" s="301"/>
      <c r="B63" s="301"/>
      <c r="C63" s="301"/>
      <c r="D63" s="301"/>
      <c r="E63" s="301"/>
      <c r="F63" s="302">
        <v>32</v>
      </c>
      <c r="G63" s="261" t="s">
        <v>460</v>
      </c>
      <c r="H63" s="294" t="s">
        <v>28</v>
      </c>
      <c r="I63" s="296">
        <v>4375</v>
      </c>
      <c r="J63" s="353" t="s">
        <v>14</v>
      </c>
    </row>
    <row r="64" spans="1:10" ht="15.75" thickBot="1" x14ac:dyDescent="0.3">
      <c r="A64" s="301"/>
      <c r="B64" s="301"/>
      <c r="C64" s="301"/>
      <c r="D64" s="301"/>
      <c r="E64" s="301"/>
      <c r="F64" s="307">
        <v>33</v>
      </c>
      <c r="G64" s="308" t="s">
        <v>461</v>
      </c>
      <c r="H64" s="309" t="s">
        <v>39</v>
      </c>
      <c r="I64" s="310">
        <v>150</v>
      </c>
      <c r="J64" s="353" t="s">
        <v>14</v>
      </c>
    </row>
  </sheetData>
  <mergeCells count="8">
    <mergeCell ref="F60:G60"/>
    <mergeCell ref="A1:E1"/>
    <mergeCell ref="A10:E10"/>
    <mergeCell ref="A17:A18"/>
    <mergeCell ref="B17:B18"/>
    <mergeCell ref="C17:C18"/>
    <mergeCell ref="D17:D18"/>
    <mergeCell ref="E17:E18"/>
  </mergeCells>
  <printOptions horizontalCentered="1"/>
  <pageMargins left="0.70866141732283472" right="0.70866141732283472" top="0.74803149606299213" bottom="0.74803149606299213" header="0.31496062992125984" footer="0.31496062992125984"/>
  <pageSetup scale="95" orientation="landscape" r:id="rId1"/>
  <headerFooter>
    <oddFooter>&amp;LPrepared By:&amp;CChecked By:&amp;RApproved By: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2:J62"/>
  <sheetViews>
    <sheetView tabSelected="1" view="pageBreakPreview" zoomScaleNormal="100" zoomScaleSheetLayoutView="100" workbookViewId="0">
      <selection activeCell="N8" sqref="N8"/>
    </sheetView>
  </sheetViews>
  <sheetFormatPr defaultColWidth="8.7109375" defaultRowHeight="13.5" x14ac:dyDescent="0.25"/>
  <cols>
    <col min="1" max="1" width="4.7109375" style="336" customWidth="1"/>
    <col min="2" max="2" width="29.7109375" style="336" customWidth="1"/>
    <col min="3" max="3" width="8.7109375" style="336"/>
    <col min="4" max="4" width="11.28515625" style="336" bestFit="1" customWidth="1"/>
    <col min="5" max="5" width="18" style="336" bestFit="1" customWidth="1"/>
    <col min="6" max="6" width="20.7109375" style="336" customWidth="1"/>
    <col min="7" max="7" width="8.7109375" style="336"/>
    <col min="8" max="8" width="12.42578125" style="336" bestFit="1" customWidth="1"/>
    <col min="9" max="9" width="16.28515625" style="336" customWidth="1"/>
    <col min="10" max="10" width="8.7109375" style="336"/>
    <col min="11" max="11" width="10" style="336" bestFit="1" customWidth="1"/>
    <col min="12" max="16384" width="8.7109375" style="336"/>
  </cols>
  <sheetData>
    <row r="2" spans="1:10" ht="14.65" customHeight="1" x14ac:dyDescent="0.25">
      <c r="A2" s="370" t="s">
        <v>470</v>
      </c>
      <c r="B2" s="370"/>
      <c r="C2" s="370"/>
      <c r="D2" s="370"/>
      <c r="E2" s="370"/>
      <c r="F2" s="370"/>
      <c r="G2" s="370"/>
      <c r="H2" s="370"/>
      <c r="I2" s="370"/>
    </row>
    <row r="3" spans="1:10" ht="14.65" customHeight="1" x14ac:dyDescent="0.25">
      <c r="A3" s="371" t="s">
        <v>471</v>
      </c>
      <c r="B3" s="371"/>
      <c r="C3" s="371"/>
      <c r="D3" s="371"/>
      <c r="E3" s="371"/>
      <c r="F3" s="371"/>
      <c r="G3" s="371"/>
      <c r="H3" s="371"/>
      <c r="I3" s="371"/>
    </row>
    <row r="4" spans="1:10" ht="14.65" customHeight="1" x14ac:dyDescent="0.25">
      <c r="A4" s="370" t="s">
        <v>472</v>
      </c>
      <c r="B4" s="370"/>
      <c r="C4" s="370"/>
      <c r="D4" s="370"/>
      <c r="E4" s="370"/>
      <c r="F4" s="370"/>
      <c r="G4" s="370"/>
      <c r="H4" s="370"/>
      <c r="I4" s="370"/>
    </row>
    <row r="6" spans="1:10" x14ac:dyDescent="0.25">
      <c r="A6" s="372" t="s">
        <v>474</v>
      </c>
      <c r="B6" s="372"/>
      <c r="C6" s="372"/>
      <c r="D6" s="372"/>
      <c r="E6" s="372"/>
      <c r="F6" s="372"/>
      <c r="G6" s="372"/>
      <c r="H6" s="372"/>
      <c r="I6" s="372"/>
    </row>
    <row r="7" spans="1:10" ht="14.25" thickBot="1" x14ac:dyDescent="0.3"/>
    <row r="8" spans="1:10" s="337" customFormat="1" ht="27.75" thickBot="1" x14ac:dyDescent="0.3">
      <c r="A8" s="60" t="s">
        <v>475</v>
      </c>
      <c r="B8" s="61" t="s">
        <v>1</v>
      </c>
      <c r="C8" s="62" t="s">
        <v>2</v>
      </c>
      <c r="D8" s="63" t="s">
        <v>3</v>
      </c>
      <c r="E8" s="62" t="s">
        <v>4</v>
      </c>
      <c r="F8" s="64" t="s">
        <v>5</v>
      </c>
      <c r="G8" s="65" t="s">
        <v>6</v>
      </c>
      <c r="H8" s="66" t="s">
        <v>7</v>
      </c>
      <c r="I8" s="67" t="s">
        <v>8</v>
      </c>
      <c r="J8" s="68"/>
    </row>
    <row r="9" spans="1:10" x14ac:dyDescent="0.25">
      <c r="A9" s="69" t="s">
        <v>9</v>
      </c>
      <c r="B9" s="70" t="s">
        <v>10</v>
      </c>
      <c r="C9" s="71"/>
      <c r="D9" s="72"/>
      <c r="E9" s="71"/>
      <c r="F9" s="73"/>
      <c r="G9" s="73"/>
      <c r="H9" s="74"/>
      <c r="I9" s="75"/>
    </row>
    <row r="10" spans="1:10" x14ac:dyDescent="0.25">
      <c r="A10" s="76">
        <v>1</v>
      </c>
      <c r="B10" s="77" t="s">
        <v>11</v>
      </c>
      <c r="C10" s="78"/>
      <c r="D10" s="79"/>
      <c r="E10" s="78"/>
      <c r="F10" s="80"/>
      <c r="G10" s="80"/>
      <c r="H10" s="81"/>
      <c r="I10" s="82"/>
    </row>
    <row r="11" spans="1:10" x14ac:dyDescent="0.25">
      <c r="A11" s="83" t="s">
        <v>12</v>
      </c>
      <c r="B11" s="84" t="s">
        <v>13</v>
      </c>
      <c r="C11" s="85" t="s">
        <v>83</v>
      </c>
      <c r="D11" s="86">
        <f>600*1000/50</f>
        <v>12000</v>
      </c>
      <c r="E11" s="78" t="s">
        <v>14</v>
      </c>
      <c r="F11" s="87">
        <f>TRANSPORT800!L20</f>
        <v>5675.54</v>
      </c>
      <c r="G11" s="80"/>
      <c r="H11" s="81">
        <f t="shared" ref="H11:H24" si="0">D11+F11+G11</f>
        <v>17675.54</v>
      </c>
      <c r="I11" s="88"/>
    </row>
    <row r="12" spans="1:10" x14ac:dyDescent="0.25">
      <c r="A12" s="83" t="s">
        <v>15</v>
      </c>
      <c r="B12" s="84" t="s">
        <v>16</v>
      </c>
      <c r="C12" s="85" t="s">
        <v>83</v>
      </c>
      <c r="D12" s="86">
        <f>'District rate'!I5</f>
        <v>14000</v>
      </c>
      <c r="E12" s="78" t="s">
        <v>14</v>
      </c>
      <c r="F12" s="87">
        <f>TRANSPORT800!L20</f>
        <v>5675.54</v>
      </c>
      <c r="G12" s="80"/>
      <c r="H12" s="81">
        <f t="shared" si="0"/>
        <v>19675.54</v>
      </c>
      <c r="I12" s="88"/>
    </row>
    <row r="13" spans="1:10" x14ac:dyDescent="0.25">
      <c r="A13" s="89">
        <v>2</v>
      </c>
      <c r="B13" s="77" t="s">
        <v>18</v>
      </c>
      <c r="C13" s="85"/>
      <c r="D13" s="90"/>
      <c r="E13" s="78"/>
      <c r="F13" s="87"/>
      <c r="G13" s="80"/>
      <c r="H13" s="81">
        <f t="shared" si="0"/>
        <v>0</v>
      </c>
      <c r="I13" s="88"/>
    </row>
    <row r="14" spans="1:10" x14ac:dyDescent="0.25">
      <c r="A14" s="91" t="s">
        <v>12</v>
      </c>
      <c r="B14" s="84" t="s">
        <v>462</v>
      </c>
      <c r="C14" s="85" t="s">
        <v>83</v>
      </c>
      <c r="D14" s="86">
        <f>'District rate'!I16</f>
        <v>79600</v>
      </c>
      <c r="E14" s="78" t="s">
        <v>14</v>
      </c>
      <c r="F14" s="87">
        <f>TRANSPORT800!L21</f>
        <v>5675.54</v>
      </c>
      <c r="G14" s="80"/>
      <c r="H14" s="81">
        <f t="shared" si="0"/>
        <v>85275.54</v>
      </c>
      <c r="I14" s="88"/>
    </row>
    <row r="15" spans="1:10" x14ac:dyDescent="0.25">
      <c r="A15" s="92" t="s">
        <v>17</v>
      </c>
      <c r="B15" s="93" t="s">
        <v>19</v>
      </c>
      <c r="C15" s="85" t="s">
        <v>83</v>
      </c>
      <c r="D15" s="86">
        <f>'District rate'!I17</f>
        <v>75500</v>
      </c>
      <c r="E15" s="78" t="s">
        <v>14</v>
      </c>
      <c r="F15" s="87">
        <f>TRANSPORT800!L21</f>
        <v>5675.54</v>
      </c>
      <c r="G15" s="80"/>
      <c r="H15" s="81">
        <f t="shared" si="0"/>
        <v>81175.539999999994</v>
      </c>
      <c r="I15" s="88"/>
    </row>
    <row r="16" spans="1:10" x14ac:dyDescent="0.25">
      <c r="A16" s="92" t="s">
        <v>20</v>
      </c>
      <c r="B16" s="93" t="s">
        <v>467</v>
      </c>
      <c r="C16" s="85" t="s">
        <v>83</v>
      </c>
      <c r="D16" s="86">
        <f>'District rate'!I18</f>
        <v>76500</v>
      </c>
      <c r="E16" s="78" t="s">
        <v>14</v>
      </c>
      <c r="F16" s="87">
        <f>TRANSPORT800!L22</f>
        <v>3917.95</v>
      </c>
      <c r="G16" s="80"/>
      <c r="H16" s="81">
        <f t="shared" si="0"/>
        <v>80417.95</v>
      </c>
      <c r="I16" s="88"/>
    </row>
    <row r="17" spans="1:9" x14ac:dyDescent="0.25">
      <c r="A17" s="89">
        <v>3</v>
      </c>
      <c r="B17" s="94" t="s">
        <v>21</v>
      </c>
      <c r="C17" s="85" t="s">
        <v>39</v>
      </c>
      <c r="D17" s="86">
        <f>'District rate'!I20</f>
        <v>88.8</v>
      </c>
      <c r="E17" s="78" t="s">
        <v>14</v>
      </c>
      <c r="F17" s="87"/>
      <c r="G17" s="80"/>
      <c r="H17" s="81">
        <f t="shared" si="0"/>
        <v>88.8</v>
      </c>
      <c r="I17" s="88"/>
    </row>
    <row r="18" spans="1:9" x14ac:dyDescent="0.25">
      <c r="A18" s="89">
        <v>4</v>
      </c>
      <c r="B18" s="94" t="s">
        <v>22</v>
      </c>
      <c r="C18" s="85"/>
      <c r="D18" s="90"/>
      <c r="E18" s="85"/>
      <c r="F18" s="95"/>
      <c r="G18" s="80"/>
      <c r="H18" s="81">
        <f t="shared" si="0"/>
        <v>0</v>
      </c>
      <c r="I18" s="88"/>
    </row>
    <row r="19" spans="1:9" x14ac:dyDescent="0.25">
      <c r="A19" s="83" t="s">
        <v>12</v>
      </c>
      <c r="B19" s="93" t="s">
        <v>23</v>
      </c>
      <c r="C19" s="85" t="s">
        <v>83</v>
      </c>
      <c r="D19" s="86">
        <v>93000</v>
      </c>
      <c r="E19" s="78" t="s">
        <v>14</v>
      </c>
      <c r="F19" s="87">
        <f>F16</f>
        <v>3917.95</v>
      </c>
      <c r="G19" s="80"/>
      <c r="H19" s="81">
        <f t="shared" si="0"/>
        <v>96917.95</v>
      </c>
      <c r="I19" s="88"/>
    </row>
    <row r="20" spans="1:9" x14ac:dyDescent="0.25">
      <c r="A20" s="89">
        <v>5</v>
      </c>
      <c r="B20" s="94" t="s">
        <v>24</v>
      </c>
      <c r="C20" s="85"/>
      <c r="D20" s="90"/>
      <c r="E20" s="78"/>
      <c r="F20" s="87"/>
      <c r="G20" s="80"/>
      <c r="H20" s="81">
        <f t="shared" si="0"/>
        <v>0</v>
      </c>
      <c r="I20" s="88"/>
    </row>
    <row r="21" spans="1:9" x14ac:dyDescent="0.25">
      <c r="A21" s="83" t="s">
        <v>12</v>
      </c>
      <c r="B21" s="93" t="s">
        <v>25</v>
      </c>
      <c r="C21" s="85" t="s">
        <v>82</v>
      </c>
      <c r="D21" s="86">
        <f>'District rate'!I12</f>
        <v>3380</v>
      </c>
      <c r="E21" s="78" t="s">
        <v>14</v>
      </c>
      <c r="F21" s="87">
        <f>TRANSPORT800!L22</f>
        <v>3917.95</v>
      </c>
      <c r="G21" s="80"/>
      <c r="H21" s="81">
        <f t="shared" si="0"/>
        <v>7297.95</v>
      </c>
      <c r="I21" s="96"/>
    </row>
    <row r="22" spans="1:9" x14ac:dyDescent="0.25">
      <c r="A22" s="83" t="s">
        <v>15</v>
      </c>
      <c r="B22" s="93" t="s">
        <v>26</v>
      </c>
      <c r="C22" s="85" t="s">
        <v>82</v>
      </c>
      <c r="D22" s="86">
        <f>'District rate'!I13</f>
        <v>6650</v>
      </c>
      <c r="E22" s="78" t="s">
        <v>14</v>
      </c>
      <c r="F22" s="87">
        <f>TRANSPORT800!L22</f>
        <v>3917.95</v>
      </c>
      <c r="G22" s="80"/>
      <c r="H22" s="81">
        <f t="shared" si="0"/>
        <v>10567.95</v>
      </c>
      <c r="I22" s="97"/>
    </row>
    <row r="23" spans="1:9" x14ac:dyDescent="0.25">
      <c r="A23" s="83" t="s">
        <v>17</v>
      </c>
      <c r="B23" s="93" t="s">
        <v>27</v>
      </c>
      <c r="C23" s="85" t="s">
        <v>82</v>
      </c>
      <c r="D23" s="86">
        <f>'District rate'!I14</f>
        <v>11500</v>
      </c>
      <c r="E23" s="78" t="s">
        <v>14</v>
      </c>
      <c r="F23" s="87">
        <f t="shared" ref="F23" si="1">F22</f>
        <v>3917.95</v>
      </c>
      <c r="G23" s="80"/>
      <c r="H23" s="81">
        <f t="shared" si="0"/>
        <v>15417.95</v>
      </c>
      <c r="I23" s="98"/>
    </row>
    <row r="24" spans="1:9" x14ac:dyDescent="0.25">
      <c r="A24" s="89"/>
      <c r="B24" s="99" t="s">
        <v>29</v>
      </c>
      <c r="C24" s="85" t="s">
        <v>30</v>
      </c>
      <c r="D24" s="86">
        <v>90</v>
      </c>
      <c r="E24" s="78" t="s">
        <v>14</v>
      </c>
      <c r="F24" s="100"/>
      <c r="G24" s="80"/>
      <c r="H24" s="81">
        <f t="shared" si="0"/>
        <v>90</v>
      </c>
      <c r="I24" s="88"/>
    </row>
    <row r="25" spans="1:9" x14ac:dyDescent="0.25">
      <c r="A25" s="89"/>
      <c r="B25" s="99"/>
      <c r="C25" s="85"/>
      <c r="D25" s="86"/>
      <c r="E25" s="78"/>
      <c r="F25" s="100"/>
      <c r="G25" s="80"/>
      <c r="H25" s="81"/>
      <c r="I25" s="88"/>
    </row>
    <row r="26" spans="1:9" x14ac:dyDescent="0.25">
      <c r="A26" s="89">
        <v>8</v>
      </c>
      <c r="B26" s="94" t="s">
        <v>31</v>
      </c>
      <c r="C26" s="85"/>
      <c r="D26" s="90"/>
      <c r="E26" s="85"/>
      <c r="F26" s="100"/>
      <c r="G26" s="80"/>
      <c r="H26" s="81">
        <f t="shared" ref="H26:H46" si="2">D26+F26+G26</f>
        <v>0</v>
      </c>
      <c r="I26" s="88"/>
    </row>
    <row r="27" spans="1:9" ht="15.75" x14ac:dyDescent="0.25">
      <c r="A27" s="83" t="s">
        <v>12</v>
      </c>
      <c r="B27" s="93" t="s">
        <v>32</v>
      </c>
      <c r="C27" s="85" t="s">
        <v>255</v>
      </c>
      <c r="D27" s="101">
        <f>'District rate'!I3</f>
        <v>1800</v>
      </c>
      <c r="E27" s="78"/>
      <c r="F27" s="81">
        <f>TRANSPORT800!L19</f>
        <v>322.99</v>
      </c>
      <c r="G27" s="80"/>
      <c r="H27" s="81">
        <f t="shared" si="2"/>
        <v>2122.9899999999998</v>
      </c>
      <c r="I27" s="88"/>
    </row>
    <row r="28" spans="1:9" ht="15.75" x14ac:dyDescent="0.25">
      <c r="A28" s="89">
        <v>9</v>
      </c>
      <c r="B28" s="94" t="s">
        <v>34</v>
      </c>
      <c r="C28" s="85" t="s">
        <v>255</v>
      </c>
      <c r="D28" s="101">
        <f>collection_rate!L11</f>
        <v>1318.4</v>
      </c>
      <c r="E28" s="78" t="s">
        <v>315</v>
      </c>
      <c r="F28" s="102">
        <f>F27</f>
        <v>322.99</v>
      </c>
      <c r="G28" s="80"/>
      <c r="H28" s="103">
        <f t="shared" si="2"/>
        <v>1641.39</v>
      </c>
      <c r="I28" s="88"/>
    </row>
    <row r="29" spans="1:9" ht="15.75" x14ac:dyDescent="0.25">
      <c r="A29" s="89">
        <v>11</v>
      </c>
      <c r="B29" s="94" t="s">
        <v>35</v>
      </c>
      <c r="C29" s="85" t="s">
        <v>255</v>
      </c>
      <c r="D29" s="86">
        <f>'District rate'!I4</f>
        <v>1200</v>
      </c>
      <c r="E29" s="78" t="s">
        <v>315</v>
      </c>
      <c r="F29" s="102">
        <f>TRANSPORT800!L19</f>
        <v>322.99</v>
      </c>
      <c r="G29" s="80"/>
      <c r="H29" s="81">
        <f t="shared" si="2"/>
        <v>1522.99</v>
      </c>
      <c r="I29" s="88"/>
    </row>
    <row r="30" spans="1:9" ht="15.75" x14ac:dyDescent="0.25">
      <c r="A30" s="89">
        <v>19</v>
      </c>
      <c r="B30" s="94" t="s">
        <v>36</v>
      </c>
      <c r="C30" s="85" t="s">
        <v>255</v>
      </c>
      <c r="D30" s="86">
        <f>4600*3.28*3.28*3.28</f>
        <v>162322.73919999998</v>
      </c>
      <c r="E30" s="85"/>
      <c r="F30" s="104"/>
      <c r="G30" s="80"/>
      <c r="H30" s="81">
        <f t="shared" si="2"/>
        <v>162322.73919999998</v>
      </c>
      <c r="I30" s="88"/>
    </row>
    <row r="31" spans="1:9" ht="15.75" x14ac:dyDescent="0.25">
      <c r="A31" s="89">
        <v>20</v>
      </c>
      <c r="B31" s="94" t="s">
        <v>37</v>
      </c>
      <c r="C31" s="85" t="s">
        <v>255</v>
      </c>
      <c r="D31" s="86">
        <f>3000*3.28*3.28*3.28</f>
        <v>105862.65599999999</v>
      </c>
      <c r="E31" s="85">
        <f t="shared" ref="E31:E36" si="3">E30</f>
        <v>0</v>
      </c>
      <c r="F31" s="104"/>
      <c r="G31" s="80"/>
      <c r="H31" s="81">
        <f t="shared" si="2"/>
        <v>105862.65599999999</v>
      </c>
      <c r="I31" s="88"/>
    </row>
    <row r="32" spans="1:9" ht="27" x14ac:dyDescent="0.25">
      <c r="A32" s="89">
        <v>21</v>
      </c>
      <c r="B32" s="94" t="s">
        <v>38</v>
      </c>
      <c r="C32" s="85" t="s">
        <v>255</v>
      </c>
      <c r="D32" s="86">
        <f>1400*3.28*3.28*3.28</f>
        <v>49402.572799999994</v>
      </c>
      <c r="E32" s="85">
        <f t="shared" si="3"/>
        <v>0</v>
      </c>
      <c r="F32" s="104"/>
      <c r="G32" s="80"/>
      <c r="H32" s="81">
        <f t="shared" si="2"/>
        <v>49402.572799999994</v>
      </c>
      <c r="I32" s="88"/>
    </row>
    <row r="33" spans="1:9" x14ac:dyDescent="0.25">
      <c r="A33" s="89">
        <v>23</v>
      </c>
      <c r="B33" s="94" t="s">
        <v>40</v>
      </c>
      <c r="C33" s="85" t="s">
        <v>28</v>
      </c>
      <c r="D33" s="86">
        <v>300</v>
      </c>
      <c r="E33" s="85" t="s">
        <v>33</v>
      </c>
      <c r="F33" s="104"/>
      <c r="G33" s="80"/>
      <c r="H33" s="81">
        <f t="shared" si="2"/>
        <v>300</v>
      </c>
      <c r="I33" s="88"/>
    </row>
    <row r="34" spans="1:9" x14ac:dyDescent="0.25">
      <c r="A34" s="89">
        <v>24</v>
      </c>
      <c r="B34" s="94" t="s">
        <v>40</v>
      </c>
      <c r="C34" s="85" t="s">
        <v>28</v>
      </c>
      <c r="D34" s="86">
        <v>300</v>
      </c>
      <c r="E34" s="85" t="str">
        <f t="shared" si="3"/>
        <v>Rukum East</v>
      </c>
      <c r="F34" s="104"/>
      <c r="G34" s="80"/>
      <c r="H34" s="81">
        <f t="shared" si="2"/>
        <v>300</v>
      </c>
      <c r="I34" s="88"/>
    </row>
    <row r="35" spans="1:9" x14ac:dyDescent="0.25">
      <c r="A35" s="89">
        <v>25</v>
      </c>
      <c r="B35" s="94" t="s">
        <v>41</v>
      </c>
      <c r="C35" s="85" t="s">
        <v>42</v>
      </c>
      <c r="D35" s="86">
        <f>62.7*3.28*3.28</f>
        <v>674.55168000000003</v>
      </c>
      <c r="E35" s="85" t="s">
        <v>14</v>
      </c>
      <c r="F35" s="104"/>
      <c r="G35" s="80"/>
      <c r="H35" s="81">
        <f t="shared" si="2"/>
        <v>674.55168000000003</v>
      </c>
      <c r="I35" s="88"/>
    </row>
    <row r="36" spans="1:9" x14ac:dyDescent="0.25">
      <c r="A36" s="89">
        <v>26</v>
      </c>
      <c r="B36" s="94" t="s">
        <v>43</v>
      </c>
      <c r="C36" s="85" t="s">
        <v>42</v>
      </c>
      <c r="D36" s="86">
        <f>95.7*3.28*3.28</f>
        <v>1029.57888</v>
      </c>
      <c r="E36" s="85" t="str">
        <f t="shared" si="3"/>
        <v>Dang</v>
      </c>
      <c r="F36" s="104"/>
      <c r="G36" s="80"/>
      <c r="H36" s="81">
        <f t="shared" si="2"/>
        <v>1029.57888</v>
      </c>
      <c r="I36" s="88"/>
    </row>
    <row r="37" spans="1:9" x14ac:dyDescent="0.25">
      <c r="A37" s="89">
        <v>27</v>
      </c>
      <c r="B37" s="94" t="s">
        <v>44</v>
      </c>
      <c r="C37" s="85" t="s">
        <v>39</v>
      </c>
      <c r="D37" s="86">
        <v>70</v>
      </c>
      <c r="E37" s="85" t="s">
        <v>33</v>
      </c>
      <c r="F37" s="100"/>
      <c r="G37" s="80"/>
      <c r="H37" s="81">
        <f t="shared" si="2"/>
        <v>70</v>
      </c>
      <c r="I37" s="88"/>
    </row>
    <row r="38" spans="1:9" x14ac:dyDescent="0.25">
      <c r="A38" s="89">
        <v>35</v>
      </c>
      <c r="B38" s="94" t="s">
        <v>45</v>
      </c>
      <c r="C38" s="85" t="s">
        <v>46</v>
      </c>
      <c r="D38" s="86">
        <v>98</v>
      </c>
      <c r="E38" s="85" t="s">
        <v>47</v>
      </c>
      <c r="F38" s="87">
        <f>TRANSPORT800!J23</f>
        <v>3.9244214520000007</v>
      </c>
      <c r="G38" s="80"/>
      <c r="H38" s="81">
        <f t="shared" si="2"/>
        <v>101.924421452</v>
      </c>
      <c r="I38" s="98"/>
    </row>
    <row r="39" spans="1:9" x14ac:dyDescent="0.25">
      <c r="A39" s="89">
        <v>36</v>
      </c>
      <c r="B39" s="94" t="s">
        <v>48</v>
      </c>
      <c r="C39" s="85" t="s">
        <v>46</v>
      </c>
      <c r="D39" s="86">
        <v>110</v>
      </c>
      <c r="E39" s="85" t="s">
        <v>47</v>
      </c>
      <c r="F39" s="87">
        <f>F38</f>
        <v>3.9244214520000007</v>
      </c>
      <c r="G39" s="80"/>
      <c r="H39" s="81">
        <f t="shared" si="2"/>
        <v>113.924421452</v>
      </c>
      <c r="I39" s="98" t="s">
        <v>49</v>
      </c>
    </row>
    <row r="40" spans="1:9" x14ac:dyDescent="0.25">
      <c r="A40" s="89">
        <v>37</v>
      </c>
      <c r="B40" s="94" t="s">
        <v>50</v>
      </c>
      <c r="C40" s="85" t="s">
        <v>46</v>
      </c>
      <c r="D40" s="86">
        <f>91/1.13</f>
        <v>80.530973451327441</v>
      </c>
      <c r="E40" s="85" t="s">
        <v>47</v>
      </c>
      <c r="F40" s="87"/>
      <c r="G40" s="80"/>
      <c r="H40" s="81">
        <f t="shared" si="2"/>
        <v>80.530973451327441</v>
      </c>
      <c r="I40" s="98" t="s">
        <v>49</v>
      </c>
    </row>
    <row r="41" spans="1:9" s="338" customFormat="1" x14ac:dyDescent="0.25">
      <c r="A41" s="111">
        <v>46</v>
      </c>
      <c r="B41" s="112" t="s">
        <v>52</v>
      </c>
      <c r="C41" s="113" t="s">
        <v>51</v>
      </c>
      <c r="D41" s="114">
        <f>'District rate'!I27</f>
        <v>693</v>
      </c>
      <c r="E41" s="113" t="s">
        <v>53</v>
      </c>
      <c r="F41" s="115"/>
      <c r="G41" s="116"/>
      <c r="H41" s="117">
        <f t="shared" si="2"/>
        <v>693</v>
      </c>
      <c r="I41" s="118"/>
    </row>
    <row r="42" spans="1:9" s="338" customFormat="1" x14ac:dyDescent="0.25">
      <c r="A42" s="111">
        <v>47</v>
      </c>
      <c r="B42" s="112" t="s">
        <v>468</v>
      </c>
      <c r="C42" s="113" t="s">
        <v>51</v>
      </c>
      <c r="D42" s="114">
        <f>'District rate'!I29</f>
        <v>1691</v>
      </c>
      <c r="E42" s="113" t="s">
        <v>53</v>
      </c>
      <c r="F42" s="115"/>
      <c r="G42" s="116"/>
      <c r="H42" s="117">
        <f t="shared" si="2"/>
        <v>1691</v>
      </c>
      <c r="I42" s="118"/>
    </row>
    <row r="43" spans="1:9" x14ac:dyDescent="0.25">
      <c r="A43" s="89">
        <v>48</v>
      </c>
      <c r="B43" s="94" t="s">
        <v>54</v>
      </c>
      <c r="C43" s="85" t="s">
        <v>28</v>
      </c>
      <c r="D43" s="86">
        <v>55</v>
      </c>
      <c r="E43" s="85" t="s">
        <v>53</v>
      </c>
      <c r="F43" s="100"/>
      <c r="G43" s="80"/>
      <c r="H43" s="81">
        <f t="shared" si="2"/>
        <v>55</v>
      </c>
      <c r="I43" s="88"/>
    </row>
    <row r="44" spans="1:9" x14ac:dyDescent="0.25">
      <c r="A44" s="89">
        <v>49</v>
      </c>
      <c r="B44" s="94" t="s">
        <v>55</v>
      </c>
      <c r="C44" s="85" t="s">
        <v>39</v>
      </c>
      <c r="D44" s="86">
        <f>'District rate'!I39</f>
        <v>103</v>
      </c>
      <c r="E44" s="85" t="str">
        <f>E34</f>
        <v>Rukum East</v>
      </c>
      <c r="F44" s="100"/>
      <c r="G44" s="80"/>
      <c r="H44" s="81">
        <f t="shared" si="2"/>
        <v>103</v>
      </c>
      <c r="I44" s="88"/>
    </row>
    <row r="45" spans="1:9" x14ac:dyDescent="0.25">
      <c r="A45" s="89">
        <v>50</v>
      </c>
      <c r="B45" s="94" t="s">
        <v>56</v>
      </c>
      <c r="C45" s="85" t="s">
        <v>39</v>
      </c>
      <c r="D45" s="86">
        <f>'District rate'!I35</f>
        <v>207</v>
      </c>
      <c r="E45" s="85" t="str">
        <f>E35</f>
        <v>Dang</v>
      </c>
      <c r="F45" s="100"/>
      <c r="G45" s="80"/>
      <c r="H45" s="81">
        <f t="shared" si="2"/>
        <v>207</v>
      </c>
      <c r="I45" s="88"/>
    </row>
    <row r="46" spans="1:9" ht="67.5" x14ac:dyDescent="0.25">
      <c r="A46" s="89">
        <v>61</v>
      </c>
      <c r="B46" s="99" t="s">
        <v>58</v>
      </c>
      <c r="C46" s="85" t="s">
        <v>57</v>
      </c>
      <c r="D46" s="86">
        <v>275</v>
      </c>
      <c r="E46" s="85" t="s">
        <v>14</v>
      </c>
      <c r="F46" s="105">
        <f>TRANSPORT800!L24</f>
        <v>10.47</v>
      </c>
      <c r="G46" s="80"/>
      <c r="H46" s="81">
        <f t="shared" si="2"/>
        <v>285.47000000000003</v>
      </c>
      <c r="I46" s="88" t="s">
        <v>33</v>
      </c>
    </row>
    <row r="47" spans="1:9" ht="29.25" x14ac:dyDescent="0.25">
      <c r="A47" s="89">
        <v>64</v>
      </c>
      <c r="B47" s="94" t="s">
        <v>256</v>
      </c>
      <c r="C47" s="85" t="s">
        <v>51</v>
      </c>
      <c r="D47" s="86">
        <v>205.97</v>
      </c>
      <c r="E47" s="78" t="s">
        <v>59</v>
      </c>
      <c r="F47" s="100"/>
      <c r="G47" s="80"/>
      <c r="H47" s="81">
        <f t="shared" ref="H47:H50" si="4">D47+F47+G47</f>
        <v>205.97</v>
      </c>
      <c r="I47" s="88"/>
    </row>
    <row r="48" spans="1:9" x14ac:dyDescent="0.25">
      <c r="A48" s="69" t="s">
        <v>60</v>
      </c>
      <c r="B48" s="106" t="s">
        <v>61</v>
      </c>
      <c r="C48" s="85"/>
      <c r="D48" s="90"/>
      <c r="E48" s="85"/>
      <c r="F48" s="100"/>
      <c r="G48" s="100"/>
      <c r="H48" s="81">
        <f t="shared" si="4"/>
        <v>0</v>
      </c>
      <c r="I48" s="88"/>
    </row>
    <row r="49" spans="1:10" x14ac:dyDescent="0.25">
      <c r="A49" s="89">
        <v>1</v>
      </c>
      <c r="B49" s="94" t="s">
        <v>62</v>
      </c>
      <c r="C49" s="85" t="s">
        <v>63</v>
      </c>
      <c r="D49" s="86">
        <f>'District rate'!D3</f>
        <v>1000</v>
      </c>
      <c r="E49" s="85" t="s">
        <v>469</v>
      </c>
      <c r="F49" s="100"/>
      <c r="G49" s="100"/>
      <c r="H49" s="81">
        <f t="shared" si="4"/>
        <v>1000</v>
      </c>
      <c r="I49" s="88"/>
    </row>
    <row r="50" spans="1:10" x14ac:dyDescent="0.25">
      <c r="A50" s="360">
        <v>2</v>
      </c>
      <c r="B50" s="109" t="s">
        <v>64</v>
      </c>
      <c r="C50" s="361" t="s">
        <v>63</v>
      </c>
      <c r="D50" s="362">
        <v>640</v>
      </c>
      <c r="E50" s="361" t="s">
        <v>469</v>
      </c>
      <c r="F50" s="363"/>
      <c r="G50" s="363"/>
      <c r="H50" s="364">
        <f t="shared" si="4"/>
        <v>640</v>
      </c>
      <c r="I50" s="365"/>
    </row>
    <row r="51" spans="1:10" ht="40.5" x14ac:dyDescent="0.25">
      <c r="A51" s="108" t="s">
        <v>65</v>
      </c>
      <c r="B51" s="366" t="s">
        <v>66</v>
      </c>
      <c r="C51" s="85"/>
      <c r="D51" s="107" t="s">
        <v>67</v>
      </c>
      <c r="E51" s="108"/>
      <c r="F51" s="367"/>
      <c r="G51" s="367" t="s">
        <v>68</v>
      </c>
      <c r="H51" s="368" t="s">
        <v>69</v>
      </c>
      <c r="I51" s="85"/>
      <c r="J51" s="197" t="s">
        <v>257</v>
      </c>
    </row>
    <row r="52" spans="1:10" x14ac:dyDescent="0.25">
      <c r="A52" s="89">
        <v>2</v>
      </c>
      <c r="B52" s="109" t="s">
        <v>72</v>
      </c>
      <c r="C52" s="85" t="s">
        <v>70</v>
      </c>
      <c r="D52" s="86">
        <f>5891-1189</f>
        <v>4702</v>
      </c>
      <c r="E52" s="85" t="s">
        <v>71</v>
      </c>
      <c r="F52" s="100"/>
      <c r="G52" s="110">
        <f>J52*$H$38</f>
        <v>1441.21131933128</v>
      </c>
      <c r="H52" s="102">
        <f t="shared" ref="H52:H62" si="5">D52+F52+G52</f>
        <v>6143.2113193312798</v>
      </c>
      <c r="I52" s="100"/>
      <c r="J52" s="339">
        <v>14.14</v>
      </c>
    </row>
    <row r="53" spans="1:10" x14ac:dyDescent="0.25">
      <c r="A53" s="89">
        <v>10</v>
      </c>
      <c r="B53" s="109" t="s">
        <v>73</v>
      </c>
      <c r="C53" s="85" t="s">
        <v>70</v>
      </c>
      <c r="D53" s="86">
        <f>3570-767</f>
        <v>2803</v>
      </c>
      <c r="E53" s="85" t="s">
        <v>71</v>
      </c>
      <c r="F53" s="100"/>
      <c r="G53" s="110">
        <f>J53*$H$38</f>
        <v>929.55072364223997</v>
      </c>
      <c r="H53" s="102">
        <f>D53+F53+G53</f>
        <v>3732.55072364224</v>
      </c>
      <c r="I53" s="100"/>
      <c r="J53" s="339">
        <v>9.1199999999999992</v>
      </c>
    </row>
    <row r="54" spans="1:10" s="341" customFormat="1" x14ac:dyDescent="0.25">
      <c r="A54" s="119">
        <v>11</v>
      </c>
      <c r="B54" s="120" t="s">
        <v>74</v>
      </c>
      <c r="C54" s="121" t="s">
        <v>70</v>
      </c>
      <c r="D54" s="122"/>
      <c r="E54" s="121" t="s">
        <v>71</v>
      </c>
      <c r="F54" s="123"/>
      <c r="G54" s="124">
        <f t="shared" ref="G54:G57" si="6">J54*$H$38</f>
        <v>0</v>
      </c>
      <c r="H54" s="125">
        <f t="shared" si="5"/>
        <v>0</v>
      </c>
      <c r="I54" s="123"/>
      <c r="J54" s="340"/>
    </row>
    <row r="55" spans="1:10" x14ac:dyDescent="0.25">
      <c r="A55" s="89">
        <v>12</v>
      </c>
      <c r="B55" s="109" t="s">
        <v>258</v>
      </c>
      <c r="C55" s="85" t="s">
        <v>70</v>
      </c>
      <c r="D55" s="86">
        <f>2281-1090</f>
        <v>1191</v>
      </c>
      <c r="E55" s="85" t="s">
        <v>71</v>
      </c>
      <c r="F55" s="100"/>
      <c r="G55" s="110">
        <f t="shared" si="6"/>
        <v>1320.9405020179202</v>
      </c>
      <c r="H55" s="102">
        <f t="shared" si="5"/>
        <v>2511.9405020179202</v>
      </c>
      <c r="I55" s="100"/>
      <c r="J55" s="339">
        <v>12.96</v>
      </c>
    </row>
    <row r="56" spans="1:10" x14ac:dyDescent="0.25">
      <c r="A56" s="89">
        <v>17</v>
      </c>
      <c r="B56" s="109" t="s">
        <v>76</v>
      </c>
      <c r="C56" s="85" t="s">
        <v>70</v>
      </c>
      <c r="D56" s="86">
        <f>2957-695</f>
        <v>2262</v>
      </c>
      <c r="E56" s="85" t="s">
        <v>71</v>
      </c>
      <c r="F56" s="100"/>
      <c r="G56" s="110">
        <f t="shared" si="6"/>
        <v>842.91496540803996</v>
      </c>
      <c r="H56" s="102">
        <f t="shared" si="5"/>
        <v>3104.9149654080402</v>
      </c>
      <c r="I56" s="100"/>
      <c r="J56" s="339">
        <v>8.27</v>
      </c>
    </row>
    <row r="57" spans="1:10" x14ac:dyDescent="0.25">
      <c r="A57" s="89">
        <v>21</v>
      </c>
      <c r="B57" s="109" t="s">
        <v>77</v>
      </c>
      <c r="C57" s="85" t="s">
        <v>70</v>
      </c>
      <c r="D57" s="86">
        <f>2006-671</f>
        <v>1335</v>
      </c>
      <c r="E57" s="85" t="s">
        <v>71</v>
      </c>
      <c r="F57" s="100"/>
      <c r="G57" s="110">
        <f t="shared" si="6"/>
        <v>814.37612740148006</v>
      </c>
      <c r="H57" s="102">
        <f t="shared" si="5"/>
        <v>2149.3761274014801</v>
      </c>
      <c r="I57" s="100"/>
      <c r="J57" s="339">
        <v>7.99</v>
      </c>
    </row>
    <row r="58" spans="1:10" x14ac:dyDescent="0.25">
      <c r="A58" s="89">
        <v>28</v>
      </c>
      <c r="B58" s="109" t="s">
        <v>245</v>
      </c>
      <c r="C58" s="85" t="s">
        <v>70</v>
      </c>
      <c r="D58" s="86">
        <f>2501-454</f>
        <v>2047</v>
      </c>
      <c r="E58" s="85" t="s">
        <v>71</v>
      </c>
      <c r="F58" s="100"/>
      <c r="G58" s="110">
        <f t="shared" ref="G58" si="7">J58*$H$38</f>
        <v>550.39187584080003</v>
      </c>
      <c r="H58" s="102">
        <f t="shared" si="5"/>
        <v>2597.3918758407999</v>
      </c>
      <c r="I58" s="313"/>
      <c r="J58" s="339">
        <v>5.4</v>
      </c>
    </row>
    <row r="59" spans="1:10" x14ac:dyDescent="0.25">
      <c r="A59" s="89">
        <v>29</v>
      </c>
      <c r="B59" s="109" t="s">
        <v>78</v>
      </c>
      <c r="C59" s="85" t="s">
        <v>70</v>
      </c>
      <c r="D59" s="86">
        <f>2014-796</f>
        <v>1218</v>
      </c>
      <c r="E59" s="85" t="s">
        <v>71</v>
      </c>
      <c r="F59" s="100"/>
      <c r="G59" s="110">
        <f t="shared" ref="G59:G60" si="8">J59*$H$38</f>
        <v>964.20502693592016</v>
      </c>
      <c r="H59" s="102">
        <f t="shared" si="5"/>
        <v>2182.2050269359202</v>
      </c>
      <c r="I59" s="100"/>
      <c r="J59" s="339">
        <v>9.4600000000000009</v>
      </c>
    </row>
    <row r="60" spans="1:10" x14ac:dyDescent="0.25">
      <c r="A60" s="89">
        <v>30</v>
      </c>
      <c r="B60" s="109" t="s">
        <v>79</v>
      </c>
      <c r="C60" s="85" t="s">
        <v>70</v>
      </c>
      <c r="D60" s="86">
        <f>1454-580</f>
        <v>874</v>
      </c>
      <c r="E60" s="85" t="s">
        <v>71</v>
      </c>
      <c r="F60" s="100"/>
      <c r="G60" s="110">
        <f t="shared" si="8"/>
        <v>703.27850801880004</v>
      </c>
      <c r="H60" s="102">
        <f t="shared" si="5"/>
        <v>1577.2785080188</v>
      </c>
      <c r="I60" s="100"/>
      <c r="J60" s="339">
        <v>6.9</v>
      </c>
    </row>
    <row r="61" spans="1:10" x14ac:dyDescent="0.25">
      <c r="A61" s="89">
        <v>34</v>
      </c>
      <c r="B61" s="109" t="s">
        <v>80</v>
      </c>
      <c r="C61" s="85" t="s">
        <v>70</v>
      </c>
      <c r="D61" s="86">
        <f>7440/8</f>
        <v>930</v>
      </c>
      <c r="E61" s="85" t="s">
        <v>469</v>
      </c>
      <c r="F61" s="100"/>
      <c r="G61" s="110">
        <f t="shared" ref="G61:G62" si="9">J61*$H$38</f>
        <v>458.65989653400004</v>
      </c>
      <c r="H61" s="102">
        <f t="shared" si="5"/>
        <v>1388.6598965339999</v>
      </c>
      <c r="I61" s="100" t="s">
        <v>469</v>
      </c>
      <c r="J61" s="339">
        <v>4.5</v>
      </c>
    </row>
    <row r="62" spans="1:10" ht="14.25" thickBot="1" x14ac:dyDescent="0.3">
      <c r="A62" s="187">
        <v>44</v>
      </c>
      <c r="B62" s="188" t="s">
        <v>81</v>
      </c>
      <c r="C62" s="189" t="s">
        <v>70</v>
      </c>
      <c r="D62" s="190">
        <f>362-43</f>
        <v>319</v>
      </c>
      <c r="E62" s="85" t="s">
        <v>71</v>
      </c>
      <c r="F62" s="191"/>
      <c r="G62" s="192">
        <f t="shared" si="9"/>
        <v>51.981454940520003</v>
      </c>
      <c r="H62" s="193">
        <f t="shared" si="5"/>
        <v>370.98145494052</v>
      </c>
      <c r="I62" s="314"/>
      <c r="J62" s="339">
        <v>0.51</v>
      </c>
    </row>
  </sheetData>
  <mergeCells count="4">
    <mergeCell ref="A6:I6"/>
    <mergeCell ref="A2:I2"/>
    <mergeCell ref="A3:I3"/>
    <mergeCell ref="A4:I4"/>
  </mergeCells>
  <printOptions horizontalCentered="1"/>
  <pageMargins left="0.70866141732283472" right="0.70866141732283472" top="0.74803149606299213" bottom="0.74803149606299213" header="0.31496062992125984" footer="0.31496062992125984"/>
  <pageSetup scale="85" orientation="landscape" r:id="rId1"/>
  <headerFooter>
    <oddFooter>&amp;LPrepared By:&amp;CChecked By:&amp;RApproved By: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89999084444715716"/>
  </sheetPr>
  <dimension ref="A1:P45"/>
  <sheetViews>
    <sheetView view="pageBreakPreview" zoomScaleNormal="100" zoomScaleSheetLayoutView="100" workbookViewId="0">
      <selection activeCell="G16" sqref="G16"/>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9.85546875" style="1" customWidth="1"/>
    <col min="7" max="7" width="9.28515625" style="1" bestFit="1" customWidth="1"/>
    <col min="8" max="8" width="9.140625" style="1" customWidth="1"/>
    <col min="9" max="9" width="6.28515625" style="1" customWidth="1"/>
    <col min="10" max="10" width="6" style="1" customWidth="1"/>
    <col min="11" max="11" width="8.7109375" style="1"/>
    <col min="12" max="12" width="24.42578125" style="1" customWidth="1"/>
    <col min="13" max="13" width="8.7109375" style="1"/>
    <col min="14" max="15" width="8.7109375" style="1" bestFit="1" customWidth="1"/>
    <col min="16" max="16" width="9.7109375" style="1" bestFit="1" customWidth="1"/>
    <col min="17" max="16384" width="8.7109375" style="1"/>
  </cols>
  <sheetData>
    <row r="1" spans="1:16" x14ac:dyDescent="0.2">
      <c r="A1" s="375" t="s">
        <v>94</v>
      </c>
      <c r="B1" s="375"/>
      <c r="C1" s="375"/>
      <c r="D1" s="375"/>
      <c r="E1" s="375"/>
      <c r="F1" s="375"/>
      <c r="G1" s="375"/>
      <c r="H1" s="375"/>
      <c r="I1" s="375"/>
      <c r="J1" s="375"/>
      <c r="K1" s="375"/>
      <c r="L1" s="375"/>
      <c r="M1" s="375"/>
      <c r="N1" s="375"/>
      <c r="O1" s="375"/>
      <c r="P1" s="375"/>
    </row>
    <row r="2" spans="1:16" x14ac:dyDescent="0.2">
      <c r="A2" s="376" t="s">
        <v>96</v>
      </c>
      <c r="B2" s="376"/>
      <c r="C2" s="377" t="s">
        <v>113</v>
      </c>
      <c r="D2" s="377"/>
      <c r="E2" s="377"/>
      <c r="F2" s="377"/>
      <c r="G2" s="377"/>
      <c r="H2" s="377"/>
      <c r="I2" s="377"/>
      <c r="J2" s="377"/>
      <c r="K2" s="377"/>
      <c r="L2" s="377"/>
      <c r="M2" s="377"/>
      <c r="N2" s="377"/>
      <c r="O2" s="378" t="s">
        <v>85</v>
      </c>
      <c r="P2" s="5">
        <v>360</v>
      </c>
    </row>
    <row r="3" spans="1:16" x14ac:dyDescent="0.2">
      <c r="A3" s="379" t="s">
        <v>97</v>
      </c>
      <c r="B3" s="379"/>
      <c r="C3" s="377"/>
      <c r="D3" s="377"/>
      <c r="E3" s="377"/>
      <c r="F3" s="377"/>
      <c r="G3" s="377"/>
      <c r="H3" s="377"/>
      <c r="I3" s="377"/>
      <c r="J3" s="377"/>
      <c r="K3" s="377"/>
      <c r="L3" s="377"/>
      <c r="M3" s="377"/>
      <c r="N3" s="377"/>
      <c r="O3" s="378"/>
      <c r="P3" s="7" t="s">
        <v>92</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9" t="s">
        <v>102</v>
      </c>
      <c r="C5" s="9" t="s">
        <v>2</v>
      </c>
      <c r="D5" s="9" t="s">
        <v>103</v>
      </c>
      <c r="E5" s="9" t="s">
        <v>104</v>
      </c>
      <c r="F5" s="9" t="s">
        <v>86</v>
      </c>
      <c r="G5" s="9" t="s">
        <v>102</v>
      </c>
      <c r="H5" s="9" t="s">
        <v>2</v>
      </c>
      <c r="I5" s="9" t="s">
        <v>103</v>
      </c>
      <c r="J5" s="9" t="s">
        <v>104</v>
      </c>
      <c r="K5" s="9" t="s">
        <v>86</v>
      </c>
      <c r="L5" s="9" t="s">
        <v>102</v>
      </c>
      <c r="M5" s="9" t="s">
        <v>2</v>
      </c>
      <c r="N5" s="9" t="s">
        <v>103</v>
      </c>
      <c r="O5" s="9" t="s">
        <v>104</v>
      </c>
      <c r="P5" s="9" t="s">
        <v>86</v>
      </c>
    </row>
    <row r="6" spans="1:16" x14ac:dyDescent="0.2">
      <c r="A6" s="373" t="s">
        <v>112</v>
      </c>
      <c r="B6" s="3" t="s">
        <v>87</v>
      </c>
      <c r="C6" s="3" t="s">
        <v>90</v>
      </c>
      <c r="D6" s="5">
        <v>1</v>
      </c>
      <c r="E6" s="5">
        <f>basic_rates!D49</f>
        <v>1000</v>
      </c>
      <c r="F6" s="10">
        <f>TRUNC(D6*E6,2)</f>
        <v>1000</v>
      </c>
      <c r="G6" s="9"/>
      <c r="H6" s="9"/>
      <c r="I6" s="9"/>
      <c r="J6" s="9"/>
      <c r="K6" s="9"/>
      <c r="L6" s="3" t="s">
        <v>89</v>
      </c>
      <c r="M6" s="8" t="s">
        <v>91</v>
      </c>
      <c r="N6" s="8">
        <v>6</v>
      </c>
      <c r="O6" s="11">
        <f>basic_rates!H53</f>
        <v>3732.55072364224</v>
      </c>
      <c r="P6" s="11">
        <f>TRUNC(N6*O6,2)</f>
        <v>22395.3</v>
      </c>
    </row>
    <row r="7" spans="1:16" x14ac:dyDescent="0.2">
      <c r="A7" s="373"/>
      <c r="B7" s="3" t="s">
        <v>88</v>
      </c>
      <c r="C7" s="3" t="s">
        <v>90</v>
      </c>
      <c r="D7" s="5">
        <v>3</v>
      </c>
      <c r="E7" s="5">
        <f>basic_rates!D50</f>
        <v>640</v>
      </c>
      <c r="F7" s="10">
        <f>TRUNC(D7*E7,2)</f>
        <v>1920</v>
      </c>
      <c r="G7" s="9"/>
      <c r="H7" s="9"/>
      <c r="I7" s="9"/>
      <c r="J7" s="9"/>
      <c r="K7" s="9"/>
      <c r="L7" s="9"/>
      <c r="M7" s="9"/>
      <c r="N7" s="9"/>
      <c r="O7" s="9"/>
      <c r="P7" s="11">
        <f>N7*O7</f>
        <v>0</v>
      </c>
    </row>
    <row r="8" spans="1:16" s="15" customFormat="1" x14ac:dyDescent="0.2">
      <c r="A8" s="380" t="s">
        <v>105</v>
      </c>
      <c r="B8" s="380"/>
      <c r="C8" s="380"/>
      <c r="D8" s="380"/>
      <c r="E8" s="380"/>
      <c r="F8" s="12">
        <f>SUM(F6:F7)</f>
        <v>2920</v>
      </c>
      <c r="G8" s="380" t="s">
        <v>107</v>
      </c>
      <c r="H8" s="380"/>
      <c r="I8" s="380"/>
      <c r="J8" s="380"/>
      <c r="K8" s="13">
        <f>SUM(K6:K7)</f>
        <v>0</v>
      </c>
      <c r="L8" s="380" t="s">
        <v>109</v>
      </c>
      <c r="M8" s="380"/>
      <c r="N8" s="380"/>
      <c r="O8" s="380"/>
      <c r="P8" s="14">
        <f>SUM(P6:P7)</f>
        <v>22395.3</v>
      </c>
    </row>
    <row r="9" spans="1:16" s="18" customFormat="1" x14ac:dyDescent="0.2">
      <c r="A9" s="381" t="s">
        <v>106</v>
      </c>
      <c r="B9" s="381"/>
      <c r="C9" s="381"/>
      <c r="D9" s="381"/>
      <c r="E9" s="381"/>
      <c r="F9" s="10">
        <f>SUM(F8,K8,P8)</f>
        <v>25315.3</v>
      </c>
      <c r="G9" s="381" t="s">
        <v>108</v>
      </c>
      <c r="H9" s="381"/>
      <c r="I9" s="381"/>
      <c r="J9" s="381"/>
      <c r="K9" s="381"/>
      <c r="L9" s="10">
        <f>F9*0.15</f>
        <v>3797.2949999999996</v>
      </c>
      <c r="M9" s="382" t="s">
        <v>110</v>
      </c>
      <c r="N9" s="382"/>
      <c r="O9" s="382"/>
      <c r="P9" s="20">
        <f>TRUNC(SUM(F9,L9)/P2,2)</f>
        <v>80.86</v>
      </c>
    </row>
    <row r="10" spans="1:16" x14ac:dyDescent="0.2">
      <c r="A10" s="2"/>
      <c r="B10" s="19"/>
      <c r="C10" s="19"/>
      <c r="D10" s="19"/>
      <c r="E10" s="19"/>
      <c r="F10" s="19"/>
      <c r="G10" s="19"/>
      <c r="H10" s="19"/>
      <c r="I10" s="19"/>
      <c r="J10" s="19"/>
      <c r="K10" s="19"/>
      <c r="L10" s="19"/>
      <c r="M10" s="19"/>
      <c r="N10" s="19"/>
      <c r="O10" s="19"/>
      <c r="P10" s="19"/>
    </row>
    <row r="11" spans="1:16" x14ac:dyDescent="0.2">
      <c r="A11" s="376" t="s">
        <v>96</v>
      </c>
      <c r="B11" s="376"/>
      <c r="C11" s="383" t="s">
        <v>114</v>
      </c>
      <c r="D11" s="384"/>
      <c r="E11" s="384"/>
      <c r="F11" s="384"/>
      <c r="G11" s="384"/>
      <c r="H11" s="384"/>
      <c r="I11" s="384"/>
      <c r="J11" s="384"/>
      <c r="K11" s="384"/>
      <c r="L11" s="384"/>
      <c r="M11" s="384"/>
      <c r="N11" s="385"/>
      <c r="O11" s="389" t="s">
        <v>85</v>
      </c>
      <c r="P11" s="5">
        <v>120</v>
      </c>
    </row>
    <row r="12" spans="1:16" x14ac:dyDescent="0.2">
      <c r="A12" s="379" t="s">
        <v>97</v>
      </c>
      <c r="B12" s="379"/>
      <c r="C12" s="386"/>
      <c r="D12" s="387"/>
      <c r="E12" s="387"/>
      <c r="F12" s="387"/>
      <c r="G12" s="387"/>
      <c r="H12" s="387"/>
      <c r="I12" s="387"/>
      <c r="J12" s="387"/>
      <c r="K12" s="387"/>
      <c r="L12" s="387"/>
      <c r="M12" s="387"/>
      <c r="N12" s="388"/>
      <c r="O12" s="390"/>
      <c r="P12" s="7" t="s">
        <v>92</v>
      </c>
    </row>
    <row r="13" spans="1:16" x14ac:dyDescent="0.2">
      <c r="A13" s="373" t="s">
        <v>98</v>
      </c>
      <c r="B13" s="374" t="s">
        <v>99</v>
      </c>
      <c r="C13" s="374"/>
      <c r="D13" s="374"/>
      <c r="E13" s="374"/>
      <c r="F13" s="374"/>
      <c r="G13" s="374" t="s">
        <v>100</v>
      </c>
      <c r="H13" s="374"/>
      <c r="I13" s="374"/>
      <c r="J13" s="374"/>
      <c r="K13" s="374"/>
      <c r="L13" s="374" t="s">
        <v>101</v>
      </c>
      <c r="M13" s="374"/>
      <c r="N13" s="374"/>
      <c r="O13" s="374"/>
      <c r="P13" s="374"/>
    </row>
    <row r="14" spans="1:16" x14ac:dyDescent="0.2">
      <c r="A14" s="373"/>
      <c r="B14" s="9" t="s">
        <v>102</v>
      </c>
      <c r="C14" s="9" t="s">
        <v>2</v>
      </c>
      <c r="D14" s="9" t="s">
        <v>103</v>
      </c>
      <c r="E14" s="9" t="s">
        <v>104</v>
      </c>
      <c r="F14" s="9" t="s">
        <v>86</v>
      </c>
      <c r="G14" s="9" t="s">
        <v>102</v>
      </c>
      <c r="H14" s="9" t="s">
        <v>2</v>
      </c>
      <c r="I14" s="9" t="s">
        <v>103</v>
      </c>
      <c r="J14" s="9" t="s">
        <v>104</v>
      </c>
      <c r="K14" s="9" t="s">
        <v>86</v>
      </c>
      <c r="L14" s="9" t="s">
        <v>102</v>
      </c>
      <c r="M14" s="9" t="s">
        <v>2</v>
      </c>
      <c r="N14" s="9" t="s">
        <v>103</v>
      </c>
      <c r="O14" s="9" t="s">
        <v>104</v>
      </c>
      <c r="P14" s="9" t="s">
        <v>86</v>
      </c>
    </row>
    <row r="15" spans="1:16" x14ac:dyDescent="0.2">
      <c r="A15" s="373" t="s">
        <v>111</v>
      </c>
      <c r="B15" s="3" t="s">
        <v>87</v>
      </c>
      <c r="C15" s="3" t="s">
        <v>90</v>
      </c>
      <c r="D15" s="5">
        <v>1</v>
      </c>
      <c r="E15" s="5">
        <f>basic_rates!H49</f>
        <v>1000</v>
      </c>
      <c r="F15" s="10">
        <f>TRUNC(D15*E15,2)</f>
        <v>1000</v>
      </c>
      <c r="G15" s="9"/>
      <c r="H15" s="9"/>
      <c r="I15" s="9"/>
      <c r="J15" s="9"/>
      <c r="K15" s="9"/>
      <c r="L15" s="3" t="s">
        <v>89</v>
      </c>
      <c r="M15" s="8" t="s">
        <v>91</v>
      </c>
      <c r="N15" s="8">
        <v>6</v>
      </c>
      <c r="O15" s="11">
        <f>basic_rates!H53</f>
        <v>3732.55072364224</v>
      </c>
      <c r="P15" s="11">
        <f>TRUNC(N15*O15,2)</f>
        <v>22395.3</v>
      </c>
    </row>
    <row r="16" spans="1:16" x14ac:dyDescent="0.2">
      <c r="A16" s="373"/>
      <c r="B16" s="3" t="s">
        <v>88</v>
      </c>
      <c r="C16" s="3" t="s">
        <v>90</v>
      </c>
      <c r="D16" s="5">
        <v>3</v>
      </c>
      <c r="E16" s="5">
        <f>basic_rates!H50</f>
        <v>640</v>
      </c>
      <c r="F16" s="10">
        <f>TRUNC(D16*E16,2)</f>
        <v>1920</v>
      </c>
      <c r="G16" s="9"/>
      <c r="H16" s="9"/>
      <c r="I16" s="9"/>
      <c r="J16" s="9"/>
      <c r="K16" s="9"/>
      <c r="L16" s="9"/>
      <c r="M16" s="9"/>
      <c r="N16" s="9"/>
      <c r="O16" s="9"/>
      <c r="P16" s="11">
        <f>N16*O16</f>
        <v>0</v>
      </c>
    </row>
    <row r="17" spans="1:16" s="15" customFormat="1" x14ac:dyDescent="0.2">
      <c r="A17" s="391" t="s">
        <v>105</v>
      </c>
      <c r="B17" s="380"/>
      <c r="C17" s="380"/>
      <c r="D17" s="380"/>
      <c r="E17" s="380"/>
      <c r="F17" s="12">
        <f>SUM(F15:F16)</f>
        <v>2920</v>
      </c>
      <c r="G17" s="380" t="s">
        <v>107</v>
      </c>
      <c r="H17" s="380"/>
      <c r="I17" s="380"/>
      <c r="J17" s="380"/>
      <c r="K17" s="13">
        <f>SUM(K15:K16)</f>
        <v>0</v>
      </c>
      <c r="L17" s="380" t="s">
        <v>109</v>
      </c>
      <c r="M17" s="380"/>
      <c r="N17" s="380"/>
      <c r="O17" s="380"/>
      <c r="P17" s="14">
        <f>SUM(P15:P16)</f>
        <v>22395.3</v>
      </c>
    </row>
    <row r="18" spans="1:16" s="18" customFormat="1" ht="14.25" thickBot="1" x14ac:dyDescent="0.25">
      <c r="A18" s="392" t="s">
        <v>106</v>
      </c>
      <c r="B18" s="393"/>
      <c r="C18" s="393"/>
      <c r="D18" s="393"/>
      <c r="E18" s="393"/>
      <c r="F18" s="10">
        <f>SUM(F17,K17,P17)</f>
        <v>25315.3</v>
      </c>
      <c r="G18" s="393" t="s">
        <v>108</v>
      </c>
      <c r="H18" s="393"/>
      <c r="I18" s="393"/>
      <c r="J18" s="393"/>
      <c r="K18" s="393"/>
      <c r="L18" s="16">
        <f>F18*0.15</f>
        <v>3797.2949999999996</v>
      </c>
      <c r="M18" s="394" t="s">
        <v>110</v>
      </c>
      <c r="N18" s="394"/>
      <c r="O18" s="394"/>
      <c r="P18" s="17">
        <f>TRUNC(SUM(F18,L18)/P11,2)</f>
        <v>242.6</v>
      </c>
    </row>
    <row r="19" spans="1:16" x14ac:dyDescent="0.2">
      <c r="A19" s="2"/>
      <c r="B19" s="2"/>
      <c r="C19" s="2"/>
      <c r="D19" s="2"/>
      <c r="E19" s="2"/>
      <c r="F19" s="2"/>
      <c r="G19" s="2"/>
      <c r="H19" s="2"/>
    </row>
    <row r="20" spans="1:16" x14ac:dyDescent="0.2">
      <c r="A20" s="376" t="s">
        <v>96</v>
      </c>
      <c r="B20" s="376"/>
      <c r="C20" s="383" t="s">
        <v>115</v>
      </c>
      <c r="D20" s="384"/>
      <c r="E20" s="384"/>
      <c r="F20" s="384"/>
      <c r="G20" s="384"/>
      <c r="H20" s="384"/>
      <c r="I20" s="384"/>
      <c r="J20" s="384"/>
      <c r="K20" s="384"/>
      <c r="L20" s="384"/>
      <c r="M20" s="384"/>
      <c r="N20" s="385"/>
      <c r="O20" s="389" t="s">
        <v>85</v>
      </c>
      <c r="P20" s="5">
        <v>16</v>
      </c>
    </row>
    <row r="21" spans="1:16" x14ac:dyDescent="0.2">
      <c r="A21" s="379" t="s">
        <v>97</v>
      </c>
      <c r="B21" s="379"/>
      <c r="C21" s="386"/>
      <c r="D21" s="387"/>
      <c r="E21" s="387"/>
      <c r="F21" s="387"/>
      <c r="G21" s="387"/>
      <c r="H21" s="387"/>
      <c r="I21" s="387"/>
      <c r="J21" s="387"/>
      <c r="K21" s="387"/>
      <c r="L21" s="387"/>
      <c r="M21" s="387"/>
      <c r="N21" s="388"/>
      <c r="O21" s="390"/>
      <c r="P21" s="7" t="s">
        <v>92</v>
      </c>
    </row>
    <row r="22" spans="1:16" x14ac:dyDescent="0.2">
      <c r="A22" s="373" t="s">
        <v>98</v>
      </c>
      <c r="B22" s="374" t="s">
        <v>99</v>
      </c>
      <c r="C22" s="374"/>
      <c r="D22" s="374"/>
      <c r="E22" s="374"/>
      <c r="F22" s="374"/>
      <c r="G22" s="374" t="s">
        <v>100</v>
      </c>
      <c r="H22" s="374"/>
      <c r="I22" s="374"/>
      <c r="J22" s="374"/>
      <c r="K22" s="374"/>
      <c r="L22" s="374" t="s">
        <v>101</v>
      </c>
      <c r="M22" s="374"/>
      <c r="N22" s="374"/>
      <c r="O22" s="374"/>
      <c r="P22" s="374"/>
    </row>
    <row r="23" spans="1:16" x14ac:dyDescent="0.2">
      <c r="A23" s="373"/>
      <c r="B23" s="9" t="s">
        <v>102</v>
      </c>
      <c r="C23" s="9" t="s">
        <v>2</v>
      </c>
      <c r="D23" s="9" t="s">
        <v>103</v>
      </c>
      <c r="E23" s="9" t="s">
        <v>104</v>
      </c>
      <c r="F23" s="9" t="s">
        <v>86</v>
      </c>
      <c r="G23" s="9" t="s">
        <v>102</v>
      </c>
      <c r="H23" s="9" t="s">
        <v>2</v>
      </c>
      <c r="I23" s="9" t="s">
        <v>103</v>
      </c>
      <c r="J23" s="9" t="s">
        <v>104</v>
      </c>
      <c r="K23" s="9" t="s">
        <v>86</v>
      </c>
      <c r="L23" s="9" t="s">
        <v>102</v>
      </c>
      <c r="M23" s="9" t="s">
        <v>2</v>
      </c>
      <c r="N23" s="9" t="s">
        <v>103</v>
      </c>
      <c r="O23" s="9" t="s">
        <v>104</v>
      </c>
      <c r="P23" s="9" t="s">
        <v>86</v>
      </c>
    </row>
    <row r="24" spans="1:16" ht="27" x14ac:dyDescent="0.2">
      <c r="A24" s="373" t="s">
        <v>111</v>
      </c>
      <c r="B24" s="26" t="s">
        <v>87</v>
      </c>
      <c r="C24" s="26" t="s">
        <v>90</v>
      </c>
      <c r="D24" s="24">
        <v>1</v>
      </c>
      <c r="E24" s="24">
        <f>basic_rates!H49</f>
        <v>1000</v>
      </c>
      <c r="F24" s="10">
        <f>TRUNC(D24*E24,2)</f>
        <v>1000</v>
      </c>
      <c r="G24" s="9"/>
      <c r="H24" s="9"/>
      <c r="I24" s="9"/>
      <c r="J24" s="9"/>
      <c r="K24" s="9"/>
      <c r="L24" s="4" t="s">
        <v>95</v>
      </c>
      <c r="M24" s="8" t="s">
        <v>91</v>
      </c>
      <c r="N24" s="10">
        <v>6</v>
      </c>
      <c r="O24" s="10">
        <f>basic_rates!H53</f>
        <v>3732.55072364224</v>
      </c>
      <c r="P24" s="10">
        <f>TRUNC(N24*O24,2)</f>
        <v>22395.3</v>
      </c>
    </row>
    <row r="25" spans="1:16" ht="40.5" x14ac:dyDescent="0.2">
      <c r="A25" s="373"/>
      <c r="B25" s="26" t="s">
        <v>88</v>
      </c>
      <c r="C25" s="26" t="s">
        <v>90</v>
      </c>
      <c r="D25" s="24">
        <v>10</v>
      </c>
      <c r="E25" s="24">
        <f>basic_rates!H50</f>
        <v>640</v>
      </c>
      <c r="F25" s="10">
        <f>TRUNC(D25*E25,2)</f>
        <v>6400</v>
      </c>
      <c r="G25" s="9"/>
      <c r="H25" s="9"/>
      <c r="I25" s="9"/>
      <c r="J25" s="9"/>
      <c r="K25" s="9"/>
      <c r="L25" s="23" t="s">
        <v>116</v>
      </c>
      <c r="M25" s="8" t="s">
        <v>92</v>
      </c>
      <c r="N25" s="10">
        <v>-8</v>
      </c>
      <c r="O25" s="25">
        <f>basic_rates!H29</f>
        <v>1522.99</v>
      </c>
      <c r="P25" s="10">
        <f>N25*O25</f>
        <v>-12183.92</v>
      </c>
    </row>
    <row r="26" spans="1:16" s="15" customFormat="1" x14ac:dyDescent="0.2">
      <c r="A26" s="391" t="s">
        <v>105</v>
      </c>
      <c r="B26" s="380"/>
      <c r="C26" s="380"/>
      <c r="D26" s="380"/>
      <c r="E26" s="380"/>
      <c r="F26" s="12">
        <f>SUM(F24:F25)</f>
        <v>7400</v>
      </c>
      <c r="G26" s="380" t="s">
        <v>107</v>
      </c>
      <c r="H26" s="380"/>
      <c r="I26" s="380"/>
      <c r="J26" s="380"/>
      <c r="K26" s="13">
        <f>SUM(K24:K25)</f>
        <v>0</v>
      </c>
      <c r="L26" s="380" t="s">
        <v>109</v>
      </c>
      <c r="M26" s="380"/>
      <c r="N26" s="380"/>
      <c r="O26" s="380"/>
      <c r="P26" s="14">
        <f>SUM(P24:P25)</f>
        <v>10211.379999999999</v>
      </c>
    </row>
    <row r="27" spans="1:16" s="18" customFormat="1" ht="14.25" thickBot="1" x14ac:dyDescent="0.25">
      <c r="A27" s="392" t="s">
        <v>106</v>
      </c>
      <c r="B27" s="393"/>
      <c r="C27" s="393"/>
      <c r="D27" s="393"/>
      <c r="E27" s="393"/>
      <c r="F27" s="10">
        <f>SUM(F26,K26,P26)</f>
        <v>17611.379999999997</v>
      </c>
      <c r="G27" s="393" t="s">
        <v>108</v>
      </c>
      <c r="H27" s="393"/>
      <c r="I27" s="393"/>
      <c r="J27" s="393"/>
      <c r="K27" s="393"/>
      <c r="L27" s="16">
        <f>F27*0.15</f>
        <v>2641.7069999999994</v>
      </c>
      <c r="M27" s="394" t="s">
        <v>110</v>
      </c>
      <c r="N27" s="394"/>
      <c r="O27" s="394"/>
      <c r="P27" s="17">
        <f>TRUNC(SUM(F27,L27)/P20,2)</f>
        <v>1265.81</v>
      </c>
    </row>
    <row r="28" spans="1:16" x14ac:dyDescent="0.2">
      <c r="A28" s="2"/>
      <c r="B28" s="2"/>
      <c r="C28" s="2"/>
      <c r="D28" s="2"/>
      <c r="E28" s="2"/>
      <c r="F28" s="2"/>
      <c r="G28" s="2"/>
      <c r="H28" s="2"/>
    </row>
    <row r="29" spans="1:16" x14ac:dyDescent="0.2">
      <c r="A29" s="376" t="s">
        <v>96</v>
      </c>
      <c r="B29" s="376"/>
      <c r="C29" s="383" t="s">
        <v>260</v>
      </c>
      <c r="D29" s="384"/>
      <c r="E29" s="384"/>
      <c r="F29" s="384"/>
      <c r="G29" s="384"/>
      <c r="H29" s="384"/>
      <c r="I29" s="384"/>
      <c r="J29" s="384"/>
      <c r="K29" s="384"/>
      <c r="L29" s="384"/>
      <c r="M29" s="384"/>
      <c r="N29" s="385"/>
      <c r="O29" s="389" t="s">
        <v>85</v>
      </c>
      <c r="P29" s="5">
        <v>240</v>
      </c>
    </row>
    <row r="30" spans="1:16" x14ac:dyDescent="0.2">
      <c r="A30" s="379" t="s">
        <v>259</v>
      </c>
      <c r="B30" s="379"/>
      <c r="C30" s="386"/>
      <c r="D30" s="387"/>
      <c r="E30" s="387"/>
      <c r="F30" s="387"/>
      <c r="G30" s="387"/>
      <c r="H30" s="387"/>
      <c r="I30" s="387"/>
      <c r="J30" s="387"/>
      <c r="K30" s="387"/>
      <c r="L30" s="387"/>
      <c r="M30" s="387"/>
      <c r="N30" s="388"/>
      <c r="O30" s="390"/>
      <c r="P30" s="7" t="s">
        <v>92</v>
      </c>
    </row>
    <row r="31" spans="1:16" x14ac:dyDescent="0.2">
      <c r="A31" s="373" t="s">
        <v>98</v>
      </c>
      <c r="B31" s="374" t="s">
        <v>99</v>
      </c>
      <c r="C31" s="374"/>
      <c r="D31" s="374"/>
      <c r="E31" s="374"/>
      <c r="F31" s="374"/>
      <c r="G31" s="374" t="s">
        <v>100</v>
      </c>
      <c r="H31" s="374"/>
      <c r="I31" s="374"/>
      <c r="J31" s="374"/>
      <c r="K31" s="374"/>
      <c r="L31" s="374" t="s">
        <v>101</v>
      </c>
      <c r="M31" s="374"/>
      <c r="N31" s="374"/>
      <c r="O31" s="374"/>
      <c r="P31" s="374"/>
    </row>
    <row r="32" spans="1:16" x14ac:dyDescent="0.2">
      <c r="A32" s="373"/>
      <c r="B32" s="128" t="s">
        <v>102</v>
      </c>
      <c r="C32" s="128" t="s">
        <v>2</v>
      </c>
      <c r="D32" s="128" t="s">
        <v>103</v>
      </c>
      <c r="E32" s="128" t="s">
        <v>104</v>
      </c>
      <c r="F32" s="128" t="s">
        <v>86</v>
      </c>
      <c r="G32" s="128" t="s">
        <v>102</v>
      </c>
      <c r="H32" s="128" t="s">
        <v>2</v>
      </c>
      <c r="I32" s="128" t="s">
        <v>103</v>
      </c>
      <c r="J32" s="128" t="s">
        <v>104</v>
      </c>
      <c r="K32" s="128" t="s">
        <v>86</v>
      </c>
      <c r="L32" s="128" t="s">
        <v>102</v>
      </c>
      <c r="M32" s="128" t="s">
        <v>2</v>
      </c>
      <c r="N32" s="128" t="s">
        <v>103</v>
      </c>
      <c r="O32" s="128" t="s">
        <v>104</v>
      </c>
      <c r="P32" s="128" t="s">
        <v>86</v>
      </c>
    </row>
    <row r="33" spans="1:16" x14ac:dyDescent="0.2">
      <c r="A33" s="373" t="s">
        <v>112</v>
      </c>
      <c r="B33" s="26" t="s">
        <v>87</v>
      </c>
      <c r="C33" s="26" t="s">
        <v>90</v>
      </c>
      <c r="D33" s="24">
        <v>1</v>
      </c>
      <c r="E33" s="24">
        <f>E24</f>
        <v>1000</v>
      </c>
      <c r="F33" s="10">
        <f>TRUNC(D33*E33,2)</f>
        <v>1000</v>
      </c>
      <c r="G33" s="128"/>
      <c r="H33" s="128"/>
      <c r="I33" s="128"/>
      <c r="J33" s="128"/>
      <c r="K33" s="128"/>
      <c r="L33" s="3" t="s">
        <v>89</v>
      </c>
      <c r="M33" s="8" t="s">
        <v>91</v>
      </c>
      <c r="N33" s="10">
        <v>6</v>
      </c>
      <c r="O33" s="10">
        <f>O24</f>
        <v>3732.55072364224</v>
      </c>
      <c r="P33" s="10">
        <f>TRUNC(N33*O33,2)</f>
        <v>22395.3</v>
      </c>
    </row>
    <row r="34" spans="1:16" x14ac:dyDescent="0.2">
      <c r="A34" s="373"/>
      <c r="B34" s="26" t="s">
        <v>88</v>
      </c>
      <c r="C34" s="26" t="s">
        <v>90</v>
      </c>
      <c r="D34" s="24">
        <v>3</v>
      </c>
      <c r="E34" s="24">
        <f>E25</f>
        <v>640</v>
      </c>
      <c r="F34" s="10">
        <f>TRUNC(D34*E34,2)</f>
        <v>1920</v>
      </c>
      <c r="G34" s="128"/>
      <c r="H34" s="128"/>
      <c r="I34" s="128"/>
      <c r="J34" s="128"/>
      <c r="K34" s="128"/>
      <c r="L34" s="23"/>
      <c r="M34" s="8"/>
      <c r="N34" s="10"/>
      <c r="O34" s="25"/>
      <c r="P34" s="10">
        <f>N34*O34</f>
        <v>0</v>
      </c>
    </row>
    <row r="35" spans="1:16" s="15" customFormat="1" x14ac:dyDescent="0.2">
      <c r="A35" s="391" t="s">
        <v>105</v>
      </c>
      <c r="B35" s="380"/>
      <c r="C35" s="380"/>
      <c r="D35" s="380"/>
      <c r="E35" s="380"/>
      <c r="F35" s="12">
        <f>SUM(F33:F34)</f>
        <v>2920</v>
      </c>
      <c r="G35" s="380" t="s">
        <v>107</v>
      </c>
      <c r="H35" s="380"/>
      <c r="I35" s="380"/>
      <c r="J35" s="380"/>
      <c r="K35" s="13">
        <f>SUM(K33:K34)</f>
        <v>0</v>
      </c>
      <c r="L35" s="380" t="s">
        <v>109</v>
      </c>
      <c r="M35" s="380"/>
      <c r="N35" s="380"/>
      <c r="O35" s="380"/>
      <c r="P35" s="14">
        <f>SUM(P33:P34)</f>
        <v>22395.3</v>
      </c>
    </row>
    <row r="36" spans="1:16" s="18" customFormat="1" ht="14.25" thickBot="1" x14ac:dyDescent="0.25">
      <c r="A36" s="392" t="s">
        <v>106</v>
      </c>
      <c r="B36" s="393"/>
      <c r="C36" s="393"/>
      <c r="D36" s="393"/>
      <c r="E36" s="393"/>
      <c r="F36" s="10">
        <f>SUM(F35,K35,P35)</f>
        <v>25315.3</v>
      </c>
      <c r="G36" s="393" t="s">
        <v>108</v>
      </c>
      <c r="H36" s="393"/>
      <c r="I36" s="393"/>
      <c r="J36" s="393"/>
      <c r="K36" s="393"/>
      <c r="L36" s="16">
        <f>F36*0.15</f>
        <v>3797.2949999999996</v>
      </c>
      <c r="M36" s="394" t="s">
        <v>110</v>
      </c>
      <c r="N36" s="394"/>
      <c r="O36" s="394"/>
      <c r="P36" s="17">
        <f>TRUNC(SUM(F36,L36)/P29,2)</f>
        <v>121.3</v>
      </c>
    </row>
    <row r="38" spans="1:16" x14ac:dyDescent="0.2">
      <c r="A38" s="376" t="s">
        <v>96</v>
      </c>
      <c r="B38" s="376"/>
      <c r="C38" s="383" t="s">
        <v>261</v>
      </c>
      <c r="D38" s="384"/>
      <c r="E38" s="384"/>
      <c r="F38" s="384"/>
      <c r="G38" s="384"/>
      <c r="H38" s="384"/>
      <c r="I38" s="384"/>
      <c r="J38" s="384"/>
      <c r="K38" s="384"/>
      <c r="L38" s="384"/>
      <c r="M38" s="384"/>
      <c r="N38" s="385"/>
      <c r="O38" s="389" t="s">
        <v>85</v>
      </c>
      <c r="P38" s="5">
        <v>10</v>
      </c>
    </row>
    <row r="39" spans="1:16" x14ac:dyDescent="0.2">
      <c r="A39" s="379" t="s">
        <v>259</v>
      </c>
      <c r="B39" s="379"/>
      <c r="C39" s="386"/>
      <c r="D39" s="387"/>
      <c r="E39" s="387"/>
      <c r="F39" s="387"/>
      <c r="G39" s="387"/>
      <c r="H39" s="387"/>
      <c r="I39" s="387"/>
      <c r="J39" s="387"/>
      <c r="K39" s="387"/>
      <c r="L39" s="387"/>
      <c r="M39" s="387"/>
      <c r="N39" s="388"/>
      <c r="O39" s="390"/>
      <c r="P39" s="7" t="s">
        <v>92</v>
      </c>
    </row>
    <row r="40" spans="1:16" x14ac:dyDescent="0.2">
      <c r="A40" s="373" t="s">
        <v>98</v>
      </c>
      <c r="B40" s="374" t="s">
        <v>99</v>
      </c>
      <c r="C40" s="374"/>
      <c r="D40" s="374"/>
      <c r="E40" s="374"/>
      <c r="F40" s="374"/>
      <c r="G40" s="374" t="s">
        <v>100</v>
      </c>
      <c r="H40" s="374"/>
      <c r="I40" s="374"/>
      <c r="J40" s="374"/>
      <c r="K40" s="374"/>
      <c r="L40" s="374" t="s">
        <v>101</v>
      </c>
      <c r="M40" s="374"/>
      <c r="N40" s="374"/>
      <c r="O40" s="374"/>
      <c r="P40" s="374"/>
    </row>
    <row r="41" spans="1:16" x14ac:dyDescent="0.2">
      <c r="A41" s="373"/>
      <c r="B41" s="128" t="s">
        <v>102</v>
      </c>
      <c r="C41" s="128" t="s">
        <v>2</v>
      </c>
      <c r="D41" s="128" t="s">
        <v>103</v>
      </c>
      <c r="E41" s="128" t="s">
        <v>104</v>
      </c>
      <c r="F41" s="128" t="s">
        <v>86</v>
      </c>
      <c r="G41" s="128" t="s">
        <v>102</v>
      </c>
      <c r="H41" s="128" t="s">
        <v>2</v>
      </c>
      <c r="I41" s="128" t="s">
        <v>103</v>
      </c>
      <c r="J41" s="128" t="s">
        <v>104</v>
      </c>
      <c r="K41" s="128" t="s">
        <v>86</v>
      </c>
      <c r="L41" s="128" t="s">
        <v>102</v>
      </c>
      <c r="M41" s="128" t="s">
        <v>2</v>
      </c>
      <c r="N41" s="128" t="s">
        <v>103</v>
      </c>
      <c r="O41" s="128" t="s">
        <v>104</v>
      </c>
      <c r="P41" s="128" t="s">
        <v>86</v>
      </c>
    </row>
    <row r="42" spans="1:16" x14ac:dyDescent="0.2">
      <c r="A42" s="373" t="s">
        <v>262</v>
      </c>
      <c r="B42" s="26" t="s">
        <v>87</v>
      </c>
      <c r="C42" s="26" t="s">
        <v>90</v>
      </c>
      <c r="D42" s="24">
        <v>1</v>
      </c>
      <c r="E42" s="24">
        <f>E33</f>
        <v>1000</v>
      </c>
      <c r="F42" s="10">
        <f>TRUNC(D42*E42,2)</f>
        <v>1000</v>
      </c>
      <c r="G42" s="128"/>
      <c r="H42" s="128"/>
      <c r="I42" s="128"/>
      <c r="J42" s="128"/>
      <c r="K42" s="128"/>
      <c r="L42" s="3"/>
      <c r="M42" s="8"/>
      <c r="N42" s="10"/>
      <c r="O42" s="10"/>
      <c r="P42" s="10">
        <f>TRUNC(N42*O42,2)</f>
        <v>0</v>
      </c>
    </row>
    <row r="43" spans="1:16" x14ac:dyDescent="0.2">
      <c r="A43" s="373"/>
      <c r="B43" s="26" t="s">
        <v>88</v>
      </c>
      <c r="C43" s="26" t="s">
        <v>90</v>
      </c>
      <c r="D43" s="24">
        <v>3</v>
      </c>
      <c r="E43" s="24">
        <f>E34</f>
        <v>640</v>
      </c>
      <c r="F43" s="10">
        <f>TRUNC(D43*E43,2)</f>
        <v>1920</v>
      </c>
      <c r="G43" s="128"/>
      <c r="H43" s="128"/>
      <c r="I43" s="128"/>
      <c r="J43" s="128"/>
      <c r="K43" s="128"/>
      <c r="L43" s="23"/>
      <c r="M43" s="8"/>
      <c r="N43" s="10"/>
      <c r="O43" s="25"/>
      <c r="P43" s="10">
        <f>N43*O43</f>
        <v>0</v>
      </c>
    </row>
    <row r="44" spans="1:16" s="15" customFormat="1" x14ac:dyDescent="0.2">
      <c r="A44" s="391" t="s">
        <v>105</v>
      </c>
      <c r="B44" s="380"/>
      <c r="C44" s="380"/>
      <c r="D44" s="380"/>
      <c r="E44" s="380"/>
      <c r="F44" s="12">
        <f>SUM(F42:F43)</f>
        <v>2920</v>
      </c>
      <c r="G44" s="380" t="s">
        <v>107</v>
      </c>
      <c r="H44" s="380"/>
      <c r="I44" s="380"/>
      <c r="J44" s="380"/>
      <c r="K44" s="13">
        <f>SUM(K42:K43)</f>
        <v>0</v>
      </c>
      <c r="L44" s="380" t="s">
        <v>109</v>
      </c>
      <c r="M44" s="380"/>
      <c r="N44" s="380"/>
      <c r="O44" s="380"/>
      <c r="P44" s="14">
        <f>SUM(P42:P43)</f>
        <v>0</v>
      </c>
    </row>
    <row r="45" spans="1:16" s="18" customFormat="1" ht="14.25" thickBot="1" x14ac:dyDescent="0.25">
      <c r="A45" s="392" t="s">
        <v>106</v>
      </c>
      <c r="B45" s="393"/>
      <c r="C45" s="393"/>
      <c r="D45" s="393"/>
      <c r="E45" s="393"/>
      <c r="F45" s="10">
        <f>SUM(F44,K44,P44)</f>
        <v>2920</v>
      </c>
      <c r="G45" s="393" t="s">
        <v>108</v>
      </c>
      <c r="H45" s="393"/>
      <c r="I45" s="393"/>
      <c r="J45" s="393"/>
      <c r="K45" s="393"/>
      <c r="L45" s="16"/>
      <c r="M45" s="394" t="s">
        <v>110</v>
      </c>
      <c r="N45" s="394"/>
      <c r="O45" s="394"/>
      <c r="P45" s="17">
        <f>TRUNC(SUM(F45,L45)/P38,2)</f>
        <v>292</v>
      </c>
    </row>
  </sheetData>
  <mergeCells count="76">
    <mergeCell ref="A42:A43"/>
    <mergeCell ref="A44:E44"/>
    <mergeCell ref="G44:J44"/>
    <mergeCell ref="L44:O44"/>
    <mergeCell ref="A45:E45"/>
    <mergeCell ref="G45:K45"/>
    <mergeCell ref="M45:O45"/>
    <mergeCell ref="A38:B38"/>
    <mergeCell ref="C38:N39"/>
    <mergeCell ref="O38:O39"/>
    <mergeCell ref="A39:B39"/>
    <mergeCell ref="A40:A41"/>
    <mergeCell ref="B40:F40"/>
    <mergeCell ref="G40:K40"/>
    <mergeCell ref="L40:P40"/>
    <mergeCell ref="A33:A34"/>
    <mergeCell ref="A35:E35"/>
    <mergeCell ref="G35:J35"/>
    <mergeCell ref="L35:O35"/>
    <mergeCell ref="A36:E36"/>
    <mergeCell ref="G36:K36"/>
    <mergeCell ref="M36:O36"/>
    <mergeCell ref="A29:B29"/>
    <mergeCell ref="C29:N30"/>
    <mergeCell ref="O29:O30"/>
    <mergeCell ref="A30:B30"/>
    <mergeCell ref="A31:A32"/>
    <mergeCell ref="B31:F31"/>
    <mergeCell ref="G31:K31"/>
    <mergeCell ref="L31:P31"/>
    <mergeCell ref="A24:A25"/>
    <mergeCell ref="A26:E26"/>
    <mergeCell ref="G26:J26"/>
    <mergeCell ref="L26:O26"/>
    <mergeCell ref="A27:E27"/>
    <mergeCell ref="G27:K27"/>
    <mergeCell ref="M27:O27"/>
    <mergeCell ref="A20:B20"/>
    <mergeCell ref="C20:N21"/>
    <mergeCell ref="O20:O21"/>
    <mergeCell ref="A21:B21"/>
    <mergeCell ref="A22:A23"/>
    <mergeCell ref="B22:F22"/>
    <mergeCell ref="G22:K22"/>
    <mergeCell ref="L22:P22"/>
    <mergeCell ref="A15:A16"/>
    <mergeCell ref="A17:E17"/>
    <mergeCell ref="G17:J17"/>
    <mergeCell ref="L17:O17"/>
    <mergeCell ref="A18:E18"/>
    <mergeCell ref="G18:K18"/>
    <mergeCell ref="M18:O18"/>
    <mergeCell ref="A11:B11"/>
    <mergeCell ref="C11:N12"/>
    <mergeCell ref="O11:O12"/>
    <mergeCell ref="A12:B12"/>
    <mergeCell ref="A13:A14"/>
    <mergeCell ref="B13:F13"/>
    <mergeCell ref="G13:K13"/>
    <mergeCell ref="L13:P13"/>
    <mergeCell ref="A6:A7"/>
    <mergeCell ref="A8:E8"/>
    <mergeCell ref="G8:J8"/>
    <mergeCell ref="L8:O8"/>
    <mergeCell ref="A9:E9"/>
    <mergeCell ref="G9:K9"/>
    <mergeCell ref="M9:O9"/>
    <mergeCell ref="A4:A5"/>
    <mergeCell ref="B4:F4"/>
    <mergeCell ref="G4:K4"/>
    <mergeCell ref="L4:P4"/>
    <mergeCell ref="A1:P1"/>
    <mergeCell ref="A2:B2"/>
    <mergeCell ref="C2:N3"/>
    <mergeCell ref="O2:O3"/>
    <mergeCell ref="A3:B3"/>
  </mergeCells>
  <printOptions horizontalCentered="1"/>
  <pageMargins left="0.70866141732283472" right="0.70866141732283472" top="0.74803149606299213" bottom="0.74803149606299213" header="0.31496062992125984" footer="0.31496062992125984"/>
  <pageSetup scale="75" orientation="landscape" r:id="rId1"/>
  <headerFooter>
    <oddFooter>&amp;LPrepared By:&amp;CChecked By:&amp;RApproved By: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55"/>
  <sheetViews>
    <sheetView view="pageBreakPreview" zoomScaleNormal="100" zoomScaleSheetLayoutView="100" workbookViewId="0">
      <selection activeCell="S11" sqref="S11"/>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9.85546875" style="1" customWidth="1"/>
    <col min="7" max="7" width="11.28515625" style="1" bestFit="1" customWidth="1"/>
    <col min="8" max="8" width="9.140625" style="1" customWidth="1"/>
    <col min="9" max="9" width="6.28515625" style="1" customWidth="1"/>
    <col min="10" max="11" width="9.28515625" style="1" bestFit="1" customWidth="1"/>
    <col min="12" max="12" width="24.42578125" style="1" customWidth="1"/>
    <col min="13" max="13" width="8.7109375" style="1"/>
    <col min="14" max="15" width="8.7109375" style="1" bestFit="1" customWidth="1"/>
    <col min="16" max="16" width="9.28515625" style="1" bestFit="1" customWidth="1"/>
    <col min="17" max="16384" width="8.7109375" style="1"/>
  </cols>
  <sheetData>
    <row r="1" spans="1:16" x14ac:dyDescent="0.2">
      <c r="A1" s="375" t="s">
        <v>117</v>
      </c>
      <c r="B1" s="375"/>
      <c r="C1" s="375"/>
      <c r="D1" s="375"/>
      <c r="E1" s="375"/>
      <c r="F1" s="375"/>
      <c r="G1" s="375"/>
      <c r="H1" s="375"/>
      <c r="I1" s="375"/>
      <c r="J1" s="375"/>
      <c r="K1" s="375"/>
      <c r="L1" s="375"/>
      <c r="M1" s="375"/>
      <c r="N1" s="375"/>
      <c r="O1" s="375"/>
      <c r="P1" s="375"/>
    </row>
    <row r="2" spans="1:16" ht="14.65" customHeight="1" x14ac:dyDescent="0.2">
      <c r="A2" s="376" t="s">
        <v>96</v>
      </c>
      <c r="B2" s="376"/>
      <c r="C2" s="377" t="s">
        <v>119</v>
      </c>
      <c r="D2" s="377"/>
      <c r="E2" s="377"/>
      <c r="F2" s="377"/>
      <c r="G2" s="377"/>
      <c r="H2" s="377"/>
      <c r="I2" s="377"/>
      <c r="J2" s="377"/>
      <c r="K2" s="377"/>
      <c r="L2" s="377"/>
      <c r="M2" s="377"/>
      <c r="N2" s="377"/>
      <c r="O2" s="378" t="s">
        <v>85</v>
      </c>
      <c r="P2" s="5">
        <v>5</v>
      </c>
    </row>
    <row r="3" spans="1:16" ht="25.15" customHeight="1" x14ac:dyDescent="0.2">
      <c r="A3" s="395" t="s">
        <v>118</v>
      </c>
      <c r="B3" s="396"/>
      <c r="C3" s="377"/>
      <c r="D3" s="377"/>
      <c r="E3" s="377"/>
      <c r="F3" s="377"/>
      <c r="G3" s="377"/>
      <c r="H3" s="377"/>
      <c r="I3" s="377"/>
      <c r="J3" s="377"/>
      <c r="K3" s="377"/>
      <c r="L3" s="377"/>
      <c r="M3" s="377"/>
      <c r="N3" s="377"/>
      <c r="O3" s="378"/>
      <c r="P3" s="7" t="s">
        <v>92</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9" t="s">
        <v>102</v>
      </c>
      <c r="C5" s="9" t="s">
        <v>2</v>
      </c>
      <c r="D5" s="9" t="s">
        <v>103</v>
      </c>
      <c r="E5" s="9" t="s">
        <v>104</v>
      </c>
      <c r="F5" s="9" t="s">
        <v>86</v>
      </c>
      <c r="G5" s="9" t="s">
        <v>102</v>
      </c>
      <c r="H5" s="9" t="s">
        <v>2</v>
      </c>
      <c r="I5" s="9" t="s">
        <v>103</v>
      </c>
      <c r="J5" s="9" t="s">
        <v>104</v>
      </c>
      <c r="K5" s="9" t="s">
        <v>86</v>
      </c>
      <c r="L5" s="9" t="s">
        <v>102</v>
      </c>
      <c r="M5" s="9" t="s">
        <v>2</v>
      </c>
      <c r="N5" s="9" t="s">
        <v>103</v>
      </c>
      <c r="O5" s="9" t="s">
        <v>104</v>
      </c>
      <c r="P5" s="9" t="s">
        <v>86</v>
      </c>
    </row>
    <row r="6" spans="1:16" s="31" customFormat="1" ht="27" x14ac:dyDescent="0.25">
      <c r="A6" s="373" t="s">
        <v>120</v>
      </c>
      <c r="B6" s="26" t="s">
        <v>87</v>
      </c>
      <c r="C6" s="26" t="s">
        <v>90</v>
      </c>
      <c r="D6" s="24">
        <v>7</v>
      </c>
      <c r="E6" s="24">
        <f>basic_rates!D49</f>
        <v>1000</v>
      </c>
      <c r="F6" s="10">
        <f>TRUNC(D6*E6,2)</f>
        <v>7000</v>
      </c>
      <c r="G6" s="8" t="s">
        <v>35</v>
      </c>
      <c r="H6" s="8" t="s">
        <v>92</v>
      </c>
      <c r="I6" s="10">
        <v>5.75</v>
      </c>
      <c r="J6" s="10">
        <f>basic_rates!H29</f>
        <v>1522.99</v>
      </c>
      <c r="K6" s="10">
        <f>I6*J6</f>
        <v>8757.1924999999992</v>
      </c>
      <c r="L6" s="29" t="s">
        <v>123</v>
      </c>
      <c r="M6" s="8"/>
      <c r="N6" s="8"/>
      <c r="O6" s="11"/>
      <c r="P6" s="11">
        <f>F10*5%</f>
        <v>798</v>
      </c>
    </row>
    <row r="7" spans="1:16" s="31" customFormat="1" x14ac:dyDescent="0.25">
      <c r="A7" s="373"/>
      <c r="B7" s="26" t="s">
        <v>88</v>
      </c>
      <c r="C7" s="26" t="s">
        <v>90</v>
      </c>
      <c r="D7" s="24">
        <v>14</v>
      </c>
      <c r="E7" s="24">
        <f>basic_rates!D50</f>
        <v>640</v>
      </c>
      <c r="F7" s="10">
        <f>TRUNC(D7*E7,2)</f>
        <v>8960</v>
      </c>
      <c r="G7" s="8" t="s">
        <v>121</v>
      </c>
      <c r="H7" s="8" t="s">
        <v>124</v>
      </c>
      <c r="I7" s="10">
        <v>0.62</v>
      </c>
      <c r="J7" s="30">
        <f>basic_rates!H12</f>
        <v>19675.54</v>
      </c>
      <c r="K7" s="10">
        <f t="shared" ref="K7:K9" si="0">I7*J7</f>
        <v>12198.834800000001</v>
      </c>
      <c r="L7" s="9"/>
      <c r="M7" s="9"/>
      <c r="N7" s="9"/>
      <c r="O7" s="9"/>
      <c r="P7" s="11">
        <f>N7*O7</f>
        <v>0</v>
      </c>
    </row>
    <row r="8" spans="1:16" s="31" customFormat="1" x14ac:dyDescent="0.25">
      <c r="A8" s="21"/>
      <c r="B8" s="26"/>
      <c r="C8" s="26"/>
      <c r="D8" s="24"/>
      <c r="E8" s="24"/>
      <c r="F8" s="10"/>
      <c r="G8" s="8" t="s">
        <v>122</v>
      </c>
      <c r="H8" s="8" t="s">
        <v>92</v>
      </c>
      <c r="I8" s="10">
        <v>1.74</v>
      </c>
      <c r="J8" s="10">
        <f>basic_rates!H27</f>
        <v>2122.9899999999998</v>
      </c>
      <c r="K8" s="10">
        <f t="shared" si="0"/>
        <v>3694.0025999999998</v>
      </c>
      <c r="L8" s="9"/>
      <c r="M8" s="9"/>
      <c r="N8" s="9"/>
      <c r="O8" s="9"/>
      <c r="P8" s="11"/>
    </row>
    <row r="9" spans="1:16" s="31" customFormat="1" x14ac:dyDescent="0.25">
      <c r="A9" s="21"/>
      <c r="B9" s="26"/>
      <c r="C9" s="26"/>
      <c r="D9" s="24"/>
      <c r="E9" s="24"/>
      <c r="F9" s="10"/>
      <c r="G9" s="8" t="s">
        <v>125</v>
      </c>
      <c r="H9" s="8" t="s">
        <v>126</v>
      </c>
      <c r="I9" s="10">
        <v>1</v>
      </c>
      <c r="J9" s="10">
        <v>0</v>
      </c>
      <c r="K9" s="10">
        <f t="shared" si="0"/>
        <v>0</v>
      </c>
      <c r="L9" s="9"/>
      <c r="M9" s="9"/>
      <c r="N9" s="9"/>
      <c r="O9" s="9"/>
      <c r="P9" s="11"/>
    </row>
    <row r="10" spans="1:16" s="32" customFormat="1" x14ac:dyDescent="0.25">
      <c r="A10" s="397" t="s">
        <v>105</v>
      </c>
      <c r="B10" s="397"/>
      <c r="C10" s="397"/>
      <c r="D10" s="397"/>
      <c r="E10" s="397"/>
      <c r="F10" s="12">
        <f>SUM(F6:F7)</f>
        <v>15960</v>
      </c>
      <c r="G10" s="397" t="s">
        <v>107</v>
      </c>
      <c r="H10" s="397"/>
      <c r="I10" s="397"/>
      <c r="J10" s="397"/>
      <c r="K10" s="10">
        <f>SUM(K6:K9)</f>
        <v>24650.029900000001</v>
      </c>
      <c r="L10" s="397" t="s">
        <v>109</v>
      </c>
      <c r="M10" s="397"/>
      <c r="N10" s="397"/>
      <c r="O10" s="397"/>
      <c r="P10" s="12">
        <f>SUM(P6:P7)</f>
        <v>798</v>
      </c>
    </row>
    <row r="11" spans="1:16" s="33" customFormat="1" x14ac:dyDescent="0.25">
      <c r="A11" s="381" t="s">
        <v>106</v>
      </c>
      <c r="B11" s="381"/>
      <c r="C11" s="381"/>
      <c r="D11" s="381"/>
      <c r="E11" s="381"/>
      <c r="F11" s="10">
        <f>SUM(F10,K10,P10)</f>
        <v>41408.029900000001</v>
      </c>
      <c r="G11" s="381" t="s">
        <v>108</v>
      </c>
      <c r="H11" s="381"/>
      <c r="I11" s="381"/>
      <c r="J11" s="381"/>
      <c r="K11" s="381"/>
      <c r="L11" s="10"/>
      <c r="M11" s="382" t="s">
        <v>110</v>
      </c>
      <c r="N11" s="382"/>
      <c r="O11" s="382"/>
      <c r="P11" s="20">
        <f>TRUNC(SUM(F11,L11)/P2,2)</f>
        <v>8281.6</v>
      </c>
    </row>
    <row r="12" spans="1:16" s="31" customFormat="1" x14ac:dyDescent="0.25">
      <c r="A12" s="34"/>
      <c r="B12" s="19"/>
      <c r="C12" s="19"/>
      <c r="D12" s="19"/>
      <c r="E12" s="19"/>
      <c r="F12" s="19"/>
      <c r="G12" s="19"/>
      <c r="H12" s="19"/>
      <c r="I12" s="19"/>
      <c r="J12" s="19"/>
      <c r="K12" s="19"/>
      <c r="L12" s="19"/>
      <c r="M12" s="19"/>
      <c r="N12" s="19"/>
      <c r="O12" s="19"/>
      <c r="P12" s="19"/>
    </row>
    <row r="13" spans="1:16" ht="14.65" customHeight="1" x14ac:dyDescent="0.2">
      <c r="A13" s="376" t="s">
        <v>96</v>
      </c>
      <c r="B13" s="376"/>
      <c r="C13" s="377" t="s">
        <v>128</v>
      </c>
      <c r="D13" s="377"/>
      <c r="E13" s="377"/>
      <c r="F13" s="377"/>
      <c r="G13" s="377"/>
      <c r="H13" s="377"/>
      <c r="I13" s="377"/>
      <c r="J13" s="377"/>
      <c r="K13" s="377"/>
      <c r="L13" s="377"/>
      <c r="M13" s="377"/>
      <c r="N13" s="377"/>
      <c r="O13" s="378" t="s">
        <v>85</v>
      </c>
      <c r="P13" s="5">
        <v>5</v>
      </c>
    </row>
    <row r="14" spans="1:16" ht="25.15" customHeight="1" x14ac:dyDescent="0.2">
      <c r="A14" s="395" t="s">
        <v>118</v>
      </c>
      <c r="B14" s="396"/>
      <c r="C14" s="377"/>
      <c r="D14" s="377"/>
      <c r="E14" s="377"/>
      <c r="F14" s="377"/>
      <c r="G14" s="377"/>
      <c r="H14" s="377"/>
      <c r="I14" s="377"/>
      <c r="J14" s="377"/>
      <c r="K14" s="377"/>
      <c r="L14" s="377"/>
      <c r="M14" s="377"/>
      <c r="N14" s="377"/>
      <c r="O14" s="378"/>
      <c r="P14" s="7" t="s">
        <v>92</v>
      </c>
    </row>
    <row r="15" spans="1:16" x14ac:dyDescent="0.2">
      <c r="A15" s="373" t="s">
        <v>98</v>
      </c>
      <c r="B15" s="374" t="s">
        <v>99</v>
      </c>
      <c r="C15" s="374"/>
      <c r="D15" s="374"/>
      <c r="E15" s="374"/>
      <c r="F15" s="374"/>
      <c r="G15" s="374" t="s">
        <v>100</v>
      </c>
      <c r="H15" s="374"/>
      <c r="I15" s="374"/>
      <c r="J15" s="374"/>
      <c r="K15" s="374"/>
      <c r="L15" s="374" t="s">
        <v>101</v>
      </c>
      <c r="M15" s="374"/>
      <c r="N15" s="374"/>
      <c r="O15" s="374"/>
      <c r="P15" s="374"/>
    </row>
    <row r="16" spans="1:16" x14ac:dyDescent="0.2">
      <c r="A16" s="373"/>
      <c r="B16" s="9" t="s">
        <v>102</v>
      </c>
      <c r="C16" s="9" t="s">
        <v>2</v>
      </c>
      <c r="D16" s="9" t="s">
        <v>103</v>
      </c>
      <c r="E16" s="9" t="s">
        <v>104</v>
      </c>
      <c r="F16" s="9" t="s">
        <v>86</v>
      </c>
      <c r="G16" s="9" t="s">
        <v>102</v>
      </c>
      <c r="H16" s="9" t="s">
        <v>2</v>
      </c>
      <c r="I16" s="9" t="s">
        <v>103</v>
      </c>
      <c r="J16" s="9" t="s">
        <v>104</v>
      </c>
      <c r="K16" s="9" t="s">
        <v>86</v>
      </c>
      <c r="L16" s="9" t="s">
        <v>102</v>
      </c>
      <c r="M16" s="9" t="s">
        <v>2</v>
      </c>
      <c r="N16" s="9" t="s">
        <v>103</v>
      </c>
      <c r="O16" s="9" t="s">
        <v>104</v>
      </c>
      <c r="P16" s="9" t="s">
        <v>86</v>
      </c>
    </row>
    <row r="17" spans="1:16" ht="27" x14ac:dyDescent="0.2">
      <c r="A17" s="373" t="s">
        <v>127</v>
      </c>
      <c r="B17" s="26" t="s">
        <v>87</v>
      </c>
      <c r="C17" s="26" t="s">
        <v>90</v>
      </c>
      <c r="D17" s="24">
        <v>7</v>
      </c>
      <c r="E17" s="24">
        <f>E6</f>
        <v>1000</v>
      </c>
      <c r="F17" s="10">
        <f>TRUNC(D17*E17,2)</f>
        <v>7000</v>
      </c>
      <c r="G17" s="8" t="s">
        <v>35</v>
      </c>
      <c r="H17" s="8" t="s">
        <v>92</v>
      </c>
      <c r="I17" s="10">
        <v>5.75</v>
      </c>
      <c r="J17" s="10">
        <f>J6</f>
        <v>1522.99</v>
      </c>
      <c r="K17" s="10">
        <f>I17*J17</f>
        <v>8757.1924999999992</v>
      </c>
      <c r="L17" s="29" t="s">
        <v>123</v>
      </c>
      <c r="M17" s="8"/>
      <c r="N17" s="8"/>
      <c r="O17" s="11"/>
      <c r="P17" s="11">
        <f>F21*5%</f>
        <v>798</v>
      </c>
    </row>
    <row r="18" spans="1:16" x14ac:dyDescent="0.2">
      <c r="A18" s="373"/>
      <c r="B18" s="26" t="s">
        <v>88</v>
      </c>
      <c r="C18" s="26" t="s">
        <v>90</v>
      </c>
      <c r="D18" s="24">
        <v>14</v>
      </c>
      <c r="E18" s="24">
        <f>E7</f>
        <v>640</v>
      </c>
      <c r="F18" s="10">
        <f>TRUNC(D18*E18,2)</f>
        <v>8960</v>
      </c>
      <c r="G18" s="8" t="s">
        <v>121</v>
      </c>
      <c r="H18" s="8" t="s">
        <v>124</v>
      </c>
      <c r="I18" s="10">
        <v>0.45</v>
      </c>
      <c r="J18" s="10">
        <f t="shared" ref="J18:J20" si="1">J7</f>
        <v>19675.54</v>
      </c>
      <c r="K18" s="10">
        <f t="shared" ref="K18:K20" si="2">I18*J18</f>
        <v>8853.9930000000004</v>
      </c>
      <c r="L18" s="9"/>
      <c r="M18" s="9"/>
      <c r="N18" s="9"/>
      <c r="O18" s="9"/>
      <c r="P18" s="11">
        <f>N18*O18</f>
        <v>0</v>
      </c>
    </row>
    <row r="19" spans="1:16" x14ac:dyDescent="0.2">
      <c r="A19" s="21"/>
      <c r="B19" s="26"/>
      <c r="C19" s="26"/>
      <c r="D19" s="24"/>
      <c r="E19" s="24"/>
      <c r="F19" s="10"/>
      <c r="G19" s="8" t="s">
        <v>122</v>
      </c>
      <c r="H19" s="8" t="s">
        <v>92</v>
      </c>
      <c r="I19" s="10">
        <v>2.08</v>
      </c>
      <c r="J19" s="10">
        <f t="shared" si="1"/>
        <v>2122.9899999999998</v>
      </c>
      <c r="K19" s="10">
        <f t="shared" si="2"/>
        <v>4415.8191999999999</v>
      </c>
      <c r="L19" s="9"/>
      <c r="M19" s="9"/>
      <c r="N19" s="9"/>
      <c r="O19" s="9"/>
      <c r="P19" s="11"/>
    </row>
    <row r="20" spans="1:16" x14ac:dyDescent="0.2">
      <c r="A20" s="21"/>
      <c r="B20" s="26"/>
      <c r="C20" s="26"/>
      <c r="D20" s="24"/>
      <c r="E20" s="24"/>
      <c r="F20" s="10"/>
      <c r="G20" s="8" t="s">
        <v>125</v>
      </c>
      <c r="H20" s="8" t="s">
        <v>126</v>
      </c>
      <c r="I20" s="10">
        <v>1</v>
      </c>
      <c r="J20" s="10">
        <f t="shared" si="1"/>
        <v>0</v>
      </c>
      <c r="K20" s="10">
        <f t="shared" si="2"/>
        <v>0</v>
      </c>
      <c r="L20" s="9"/>
      <c r="M20" s="9"/>
      <c r="N20" s="9"/>
      <c r="O20" s="9"/>
      <c r="P20" s="11"/>
    </row>
    <row r="21" spans="1:16" s="15" customFormat="1" x14ac:dyDescent="0.2">
      <c r="A21" s="380" t="s">
        <v>105</v>
      </c>
      <c r="B21" s="380"/>
      <c r="C21" s="380"/>
      <c r="D21" s="380"/>
      <c r="E21" s="380"/>
      <c r="F21" s="12">
        <f>SUM(F17:F18)</f>
        <v>15960</v>
      </c>
      <c r="G21" s="380" t="s">
        <v>107</v>
      </c>
      <c r="H21" s="380"/>
      <c r="I21" s="380"/>
      <c r="J21" s="380"/>
      <c r="K21" s="10">
        <f>SUM(K17:K20)</f>
        <v>22027.004699999998</v>
      </c>
      <c r="L21" s="380" t="s">
        <v>109</v>
      </c>
      <c r="M21" s="380"/>
      <c r="N21" s="380"/>
      <c r="O21" s="380"/>
      <c r="P21" s="14">
        <f>SUM(P17:P18)</f>
        <v>798</v>
      </c>
    </row>
    <row r="22" spans="1:16" s="18" customFormat="1" x14ac:dyDescent="0.2">
      <c r="A22" s="381" t="s">
        <v>106</v>
      </c>
      <c r="B22" s="381"/>
      <c r="C22" s="381"/>
      <c r="D22" s="381"/>
      <c r="E22" s="381"/>
      <c r="F22" s="10">
        <f>SUM(F21,K21,P21)</f>
        <v>38785.004699999998</v>
      </c>
      <c r="G22" s="381" t="s">
        <v>108</v>
      </c>
      <c r="H22" s="381"/>
      <c r="I22" s="381"/>
      <c r="J22" s="381"/>
      <c r="K22" s="381"/>
      <c r="L22" s="10">
        <f>F22*0.15</f>
        <v>5817.7507049999995</v>
      </c>
      <c r="M22" s="382" t="s">
        <v>110</v>
      </c>
      <c r="N22" s="382"/>
      <c r="O22" s="382"/>
      <c r="P22" s="20">
        <f>TRUNC(SUM(F22,L22)/P13,2)</f>
        <v>8920.5499999999993</v>
      </c>
    </row>
    <row r="24" spans="1:16" ht="14.65" customHeight="1" x14ac:dyDescent="0.2">
      <c r="A24" s="376" t="s">
        <v>96</v>
      </c>
      <c r="B24" s="376"/>
      <c r="C24" s="377" t="s">
        <v>132</v>
      </c>
      <c r="D24" s="377"/>
      <c r="E24" s="377"/>
      <c r="F24" s="377"/>
      <c r="G24" s="377"/>
      <c r="H24" s="377"/>
      <c r="I24" s="377"/>
      <c r="J24" s="377"/>
      <c r="K24" s="377"/>
      <c r="L24" s="377"/>
      <c r="M24" s="377"/>
      <c r="N24" s="377"/>
      <c r="O24" s="378" t="s">
        <v>85</v>
      </c>
      <c r="P24" s="5">
        <v>5</v>
      </c>
    </row>
    <row r="25" spans="1:16" ht="25.15" customHeight="1" x14ac:dyDescent="0.2">
      <c r="A25" s="395" t="s">
        <v>131</v>
      </c>
      <c r="B25" s="396"/>
      <c r="C25" s="377"/>
      <c r="D25" s="377"/>
      <c r="E25" s="377"/>
      <c r="F25" s="377"/>
      <c r="G25" s="377"/>
      <c r="H25" s="377"/>
      <c r="I25" s="377"/>
      <c r="J25" s="377"/>
      <c r="K25" s="377"/>
      <c r="L25" s="377"/>
      <c r="M25" s="377"/>
      <c r="N25" s="377"/>
      <c r="O25" s="378"/>
      <c r="P25" s="7" t="s">
        <v>92</v>
      </c>
    </row>
    <row r="26" spans="1:16" x14ac:dyDescent="0.2">
      <c r="A26" s="373" t="s">
        <v>98</v>
      </c>
      <c r="B26" s="374" t="s">
        <v>99</v>
      </c>
      <c r="C26" s="374"/>
      <c r="D26" s="374"/>
      <c r="E26" s="374"/>
      <c r="F26" s="374"/>
      <c r="G26" s="374" t="s">
        <v>100</v>
      </c>
      <c r="H26" s="374"/>
      <c r="I26" s="374"/>
      <c r="J26" s="374"/>
      <c r="K26" s="374"/>
      <c r="L26" s="374" t="s">
        <v>101</v>
      </c>
      <c r="M26" s="374"/>
      <c r="N26" s="374"/>
      <c r="O26" s="374"/>
      <c r="P26" s="374"/>
    </row>
    <row r="27" spans="1:16" x14ac:dyDescent="0.2">
      <c r="A27" s="373"/>
      <c r="B27" s="9" t="s">
        <v>102</v>
      </c>
      <c r="C27" s="9" t="s">
        <v>2</v>
      </c>
      <c r="D27" s="9" t="s">
        <v>103</v>
      </c>
      <c r="E27" s="9" t="s">
        <v>104</v>
      </c>
      <c r="F27" s="9" t="s">
        <v>86</v>
      </c>
      <c r="G27" s="9" t="s">
        <v>102</v>
      </c>
      <c r="H27" s="9" t="s">
        <v>2</v>
      </c>
      <c r="I27" s="9" t="s">
        <v>103</v>
      </c>
      <c r="J27" s="9" t="s">
        <v>104</v>
      </c>
      <c r="K27" s="9" t="s">
        <v>86</v>
      </c>
      <c r="L27" s="9" t="s">
        <v>102</v>
      </c>
      <c r="M27" s="9" t="s">
        <v>2</v>
      </c>
      <c r="N27" s="9" t="s">
        <v>103</v>
      </c>
      <c r="O27" s="9" t="s">
        <v>104</v>
      </c>
      <c r="P27" s="9" t="s">
        <v>86</v>
      </c>
    </row>
    <row r="28" spans="1:16" ht="27" x14ac:dyDescent="0.2">
      <c r="A28" s="373" t="s">
        <v>130</v>
      </c>
      <c r="B28" s="26" t="s">
        <v>87</v>
      </c>
      <c r="C28" s="26" t="s">
        <v>90</v>
      </c>
      <c r="D28" s="24">
        <v>7</v>
      </c>
      <c r="E28" s="24">
        <f>E6</f>
        <v>1000</v>
      </c>
      <c r="F28" s="10">
        <f>TRUNC(D28*E28,2)</f>
        <v>7000</v>
      </c>
      <c r="G28" s="8" t="s">
        <v>35</v>
      </c>
      <c r="H28" s="8" t="s">
        <v>92</v>
      </c>
      <c r="I28" s="10">
        <v>5.75</v>
      </c>
      <c r="J28" s="10">
        <f>J17</f>
        <v>1522.99</v>
      </c>
      <c r="K28" s="10">
        <f>I28*J28</f>
        <v>8757.1924999999992</v>
      </c>
      <c r="L28" s="29" t="s">
        <v>133</v>
      </c>
      <c r="M28" s="8"/>
      <c r="N28" s="8"/>
      <c r="O28" s="11"/>
      <c r="P28" s="11">
        <f>5%*SUM(F32,K32)</f>
        <v>2091.3502349999999</v>
      </c>
    </row>
    <row r="29" spans="1:16" x14ac:dyDescent="0.2">
      <c r="A29" s="373"/>
      <c r="B29" s="26" t="s">
        <v>88</v>
      </c>
      <c r="C29" s="26" t="s">
        <v>90</v>
      </c>
      <c r="D29" s="24">
        <v>20</v>
      </c>
      <c r="E29" s="24">
        <f>E7</f>
        <v>640</v>
      </c>
      <c r="F29" s="10">
        <f>TRUNC(D29*E29,2)</f>
        <v>12800</v>
      </c>
      <c r="G29" s="8" t="s">
        <v>121</v>
      </c>
      <c r="H29" s="8" t="s">
        <v>124</v>
      </c>
      <c r="I29" s="10">
        <v>0.45</v>
      </c>
      <c r="J29" s="10">
        <f t="shared" ref="J29:J31" si="3">J18</f>
        <v>19675.54</v>
      </c>
      <c r="K29" s="10">
        <f t="shared" ref="K29:K31" si="4">I29*J29</f>
        <v>8853.9930000000004</v>
      </c>
      <c r="L29" s="9"/>
      <c r="M29" s="9"/>
      <c r="N29" s="9"/>
      <c r="O29" s="9"/>
      <c r="P29" s="11">
        <f>N29*O29</f>
        <v>0</v>
      </c>
    </row>
    <row r="30" spans="1:16" x14ac:dyDescent="0.2">
      <c r="A30" s="21"/>
      <c r="B30" s="26"/>
      <c r="C30" s="26"/>
      <c r="D30" s="24"/>
      <c r="E30" s="24"/>
      <c r="F30" s="10"/>
      <c r="G30" s="8" t="s">
        <v>122</v>
      </c>
      <c r="H30" s="8" t="s">
        <v>92</v>
      </c>
      <c r="I30" s="10">
        <v>2.08</v>
      </c>
      <c r="J30" s="10">
        <f t="shared" si="3"/>
        <v>2122.9899999999998</v>
      </c>
      <c r="K30" s="10">
        <f t="shared" si="4"/>
        <v>4415.8191999999999</v>
      </c>
      <c r="L30" s="9"/>
      <c r="M30" s="9"/>
      <c r="N30" s="9"/>
      <c r="O30" s="9"/>
      <c r="P30" s="11"/>
    </row>
    <row r="31" spans="1:16" x14ac:dyDescent="0.2">
      <c r="A31" s="21"/>
      <c r="B31" s="26"/>
      <c r="C31" s="26"/>
      <c r="D31" s="24"/>
      <c r="E31" s="24"/>
      <c r="F31" s="10"/>
      <c r="G31" s="8" t="s">
        <v>125</v>
      </c>
      <c r="H31" s="8" t="s">
        <v>126</v>
      </c>
      <c r="I31" s="10">
        <v>1</v>
      </c>
      <c r="J31" s="10">
        <f t="shared" si="3"/>
        <v>0</v>
      </c>
      <c r="K31" s="10">
        <f t="shared" si="4"/>
        <v>0</v>
      </c>
      <c r="L31" s="9"/>
      <c r="M31" s="9"/>
      <c r="N31" s="9"/>
      <c r="O31" s="9"/>
      <c r="P31" s="11"/>
    </row>
    <row r="32" spans="1:16" s="15" customFormat="1" x14ac:dyDescent="0.2">
      <c r="A32" s="380" t="s">
        <v>105</v>
      </c>
      <c r="B32" s="380"/>
      <c r="C32" s="380"/>
      <c r="D32" s="380"/>
      <c r="E32" s="380"/>
      <c r="F32" s="12">
        <f>SUM(F28:F29)</f>
        <v>19800</v>
      </c>
      <c r="G32" s="380" t="s">
        <v>107</v>
      </c>
      <c r="H32" s="380"/>
      <c r="I32" s="380"/>
      <c r="J32" s="380"/>
      <c r="K32" s="10">
        <f>SUM(K28:K31)</f>
        <v>22027.004699999998</v>
      </c>
      <c r="L32" s="380" t="s">
        <v>109</v>
      </c>
      <c r="M32" s="380"/>
      <c r="N32" s="380"/>
      <c r="O32" s="380"/>
      <c r="P32" s="14">
        <f>SUM(P28:P29)</f>
        <v>2091.3502349999999</v>
      </c>
    </row>
    <row r="33" spans="1:16" s="18" customFormat="1" x14ac:dyDescent="0.2">
      <c r="A33" s="381" t="s">
        <v>106</v>
      </c>
      <c r="B33" s="381"/>
      <c r="C33" s="381"/>
      <c r="D33" s="381"/>
      <c r="E33" s="381"/>
      <c r="F33" s="10">
        <f>SUM(F32,K32,P32)</f>
        <v>43918.354934999996</v>
      </c>
      <c r="G33" s="381" t="s">
        <v>108</v>
      </c>
      <c r="H33" s="381"/>
      <c r="I33" s="381"/>
      <c r="J33" s="381"/>
      <c r="K33" s="381"/>
      <c r="L33" s="10">
        <f>F33*0.15</f>
        <v>6587.7532402499992</v>
      </c>
      <c r="M33" s="382" t="s">
        <v>110</v>
      </c>
      <c r="N33" s="382"/>
      <c r="O33" s="382"/>
      <c r="P33" s="20">
        <f>TRUNC(SUM(F33,L33)/P24,2)</f>
        <v>10101.219999999999</v>
      </c>
    </row>
    <row r="35" spans="1:16" ht="14.65" customHeight="1" x14ac:dyDescent="0.2">
      <c r="A35" s="376" t="s">
        <v>96</v>
      </c>
      <c r="B35" s="376"/>
      <c r="C35" s="377" t="s">
        <v>134</v>
      </c>
      <c r="D35" s="377"/>
      <c r="E35" s="377"/>
      <c r="F35" s="377"/>
      <c r="G35" s="377"/>
      <c r="H35" s="377"/>
      <c r="I35" s="377"/>
      <c r="J35" s="377"/>
      <c r="K35" s="377"/>
      <c r="L35" s="377"/>
      <c r="M35" s="377"/>
      <c r="N35" s="377"/>
      <c r="O35" s="378" t="s">
        <v>85</v>
      </c>
      <c r="P35" s="5">
        <v>5</v>
      </c>
    </row>
    <row r="36" spans="1:16" ht="25.15" customHeight="1" x14ac:dyDescent="0.2">
      <c r="A36" s="395" t="s">
        <v>131</v>
      </c>
      <c r="B36" s="396"/>
      <c r="C36" s="377"/>
      <c r="D36" s="377"/>
      <c r="E36" s="377"/>
      <c r="F36" s="377"/>
      <c r="G36" s="377"/>
      <c r="H36" s="377"/>
      <c r="I36" s="377"/>
      <c r="J36" s="377"/>
      <c r="K36" s="377"/>
      <c r="L36" s="377"/>
      <c r="M36" s="377"/>
      <c r="N36" s="377"/>
      <c r="O36" s="378"/>
      <c r="P36" s="7" t="s">
        <v>92</v>
      </c>
    </row>
    <row r="37" spans="1:16" x14ac:dyDescent="0.2">
      <c r="A37" s="373" t="s">
        <v>98</v>
      </c>
      <c r="B37" s="374" t="s">
        <v>99</v>
      </c>
      <c r="C37" s="374"/>
      <c r="D37" s="374"/>
      <c r="E37" s="374"/>
      <c r="F37" s="374"/>
      <c r="G37" s="374" t="s">
        <v>100</v>
      </c>
      <c r="H37" s="374"/>
      <c r="I37" s="374"/>
      <c r="J37" s="374"/>
      <c r="K37" s="374"/>
      <c r="L37" s="374" t="s">
        <v>101</v>
      </c>
      <c r="M37" s="374"/>
      <c r="N37" s="374"/>
      <c r="O37" s="374"/>
      <c r="P37" s="374"/>
    </row>
    <row r="38" spans="1:16" x14ac:dyDescent="0.2">
      <c r="A38" s="373"/>
      <c r="B38" s="9" t="s">
        <v>102</v>
      </c>
      <c r="C38" s="9" t="s">
        <v>2</v>
      </c>
      <c r="D38" s="9" t="s">
        <v>103</v>
      </c>
      <c r="E38" s="9" t="s">
        <v>104</v>
      </c>
      <c r="F38" s="9" t="s">
        <v>86</v>
      </c>
      <c r="G38" s="9" t="s">
        <v>102</v>
      </c>
      <c r="H38" s="9" t="s">
        <v>2</v>
      </c>
      <c r="I38" s="9" t="s">
        <v>103</v>
      </c>
      <c r="J38" s="9" t="s">
        <v>104</v>
      </c>
      <c r="K38" s="9" t="s">
        <v>86</v>
      </c>
      <c r="L38" s="9" t="s">
        <v>102</v>
      </c>
      <c r="M38" s="9" t="s">
        <v>2</v>
      </c>
      <c r="N38" s="9" t="s">
        <v>103</v>
      </c>
      <c r="O38" s="9" t="s">
        <v>104</v>
      </c>
      <c r="P38" s="9" t="s">
        <v>86</v>
      </c>
    </row>
    <row r="39" spans="1:16" ht="27" x14ac:dyDescent="0.2">
      <c r="A39" s="373" t="s">
        <v>135</v>
      </c>
      <c r="B39" s="26" t="s">
        <v>87</v>
      </c>
      <c r="C39" s="26" t="s">
        <v>90</v>
      </c>
      <c r="D39" s="24">
        <v>7</v>
      </c>
      <c r="E39" s="24">
        <f>E17</f>
        <v>1000</v>
      </c>
      <c r="F39" s="10">
        <f>TRUNC(D39*E39,2)</f>
        <v>7000</v>
      </c>
      <c r="G39" s="8" t="s">
        <v>35</v>
      </c>
      <c r="H39" s="8" t="s">
        <v>92</v>
      </c>
      <c r="I39" s="10">
        <v>5.75</v>
      </c>
      <c r="J39" s="10">
        <f>J28</f>
        <v>1522.99</v>
      </c>
      <c r="K39" s="10">
        <f>I39*J39</f>
        <v>8757.1924999999992</v>
      </c>
      <c r="L39" s="29" t="s">
        <v>133</v>
      </c>
      <c r="M39" s="8"/>
      <c r="N39" s="8"/>
      <c r="O39" s="11"/>
      <c r="P39" s="11">
        <f>5%*SUM(F43,K43)</f>
        <v>2110.248595</v>
      </c>
    </row>
    <row r="40" spans="1:16" x14ac:dyDescent="0.2">
      <c r="A40" s="373"/>
      <c r="B40" s="26" t="s">
        <v>88</v>
      </c>
      <c r="C40" s="26" t="s">
        <v>90</v>
      </c>
      <c r="D40" s="24">
        <v>20</v>
      </c>
      <c r="E40" s="24">
        <f>E18</f>
        <v>640</v>
      </c>
      <c r="F40" s="10">
        <f>TRUNC(D40*E40,2)</f>
        <v>12800</v>
      </c>
      <c r="G40" s="8" t="s">
        <v>121</v>
      </c>
      <c r="H40" s="8" t="s">
        <v>124</v>
      </c>
      <c r="I40" s="10">
        <v>0.48</v>
      </c>
      <c r="J40" s="10">
        <f t="shared" ref="J40:J42" si="5">J29</f>
        <v>19675.54</v>
      </c>
      <c r="K40" s="10">
        <f t="shared" ref="K40:K42" si="6">I40*J40</f>
        <v>9444.2592000000004</v>
      </c>
      <c r="L40" s="9"/>
      <c r="M40" s="9"/>
      <c r="N40" s="9"/>
      <c r="O40" s="9"/>
      <c r="P40" s="11">
        <f>N40*O40</f>
        <v>0</v>
      </c>
    </row>
    <row r="41" spans="1:16" x14ac:dyDescent="0.2">
      <c r="A41" s="21"/>
      <c r="B41" s="26"/>
      <c r="C41" s="26"/>
      <c r="D41" s="24"/>
      <c r="E41" s="24"/>
      <c r="F41" s="10"/>
      <c r="G41" s="8" t="s">
        <v>122</v>
      </c>
      <c r="H41" s="8" t="s">
        <v>92</v>
      </c>
      <c r="I41" s="10">
        <v>1.98</v>
      </c>
      <c r="J41" s="10">
        <f t="shared" si="5"/>
        <v>2122.9899999999998</v>
      </c>
      <c r="K41" s="10">
        <f t="shared" si="6"/>
        <v>4203.5201999999999</v>
      </c>
      <c r="L41" s="9"/>
      <c r="M41" s="9"/>
      <c r="N41" s="9"/>
      <c r="O41" s="9"/>
      <c r="P41" s="11"/>
    </row>
    <row r="42" spans="1:16" x14ac:dyDescent="0.2">
      <c r="A42" s="21"/>
      <c r="B42" s="26"/>
      <c r="C42" s="26"/>
      <c r="D42" s="24"/>
      <c r="E42" s="24"/>
      <c r="F42" s="10"/>
      <c r="G42" s="8" t="s">
        <v>125</v>
      </c>
      <c r="H42" s="8" t="s">
        <v>126</v>
      </c>
      <c r="I42" s="10">
        <v>1</v>
      </c>
      <c r="J42" s="10">
        <f t="shared" si="5"/>
        <v>0</v>
      </c>
      <c r="K42" s="10">
        <f t="shared" si="6"/>
        <v>0</v>
      </c>
      <c r="L42" s="9"/>
      <c r="M42" s="9"/>
      <c r="N42" s="9"/>
      <c r="O42" s="9"/>
      <c r="P42" s="11"/>
    </row>
    <row r="43" spans="1:16" s="15" customFormat="1" x14ac:dyDescent="0.2">
      <c r="A43" s="380" t="s">
        <v>105</v>
      </c>
      <c r="B43" s="380"/>
      <c r="C43" s="380"/>
      <c r="D43" s="380"/>
      <c r="E43" s="380"/>
      <c r="F43" s="12">
        <f>SUM(F39:F40)</f>
        <v>19800</v>
      </c>
      <c r="G43" s="380" t="s">
        <v>107</v>
      </c>
      <c r="H43" s="380"/>
      <c r="I43" s="380"/>
      <c r="J43" s="380"/>
      <c r="K43" s="10">
        <f>SUM(K39:K42)</f>
        <v>22404.971899999997</v>
      </c>
      <c r="L43" s="380" t="s">
        <v>109</v>
      </c>
      <c r="M43" s="380"/>
      <c r="N43" s="380"/>
      <c r="O43" s="380"/>
      <c r="P43" s="14">
        <f>SUM(P39:P40)</f>
        <v>2110.248595</v>
      </c>
    </row>
    <row r="44" spans="1:16" s="18" customFormat="1" x14ac:dyDescent="0.2">
      <c r="A44" s="381" t="s">
        <v>106</v>
      </c>
      <c r="B44" s="381"/>
      <c r="C44" s="381"/>
      <c r="D44" s="381"/>
      <c r="E44" s="381"/>
      <c r="F44" s="10">
        <f>SUM(F43,K43,P43)</f>
        <v>44315.220494999994</v>
      </c>
      <c r="G44" s="381" t="s">
        <v>108</v>
      </c>
      <c r="H44" s="381"/>
      <c r="I44" s="381"/>
      <c r="J44" s="381"/>
      <c r="K44" s="381"/>
      <c r="L44" s="10">
        <f>F44*0.15</f>
        <v>6647.2830742499991</v>
      </c>
      <c r="M44" s="382" t="s">
        <v>110</v>
      </c>
      <c r="N44" s="382"/>
      <c r="O44" s="382"/>
      <c r="P44" s="20">
        <f>TRUNC(SUM(F44,L44)/P35,2)</f>
        <v>10192.5</v>
      </c>
    </row>
    <row r="46" spans="1:16" ht="14.65" customHeight="1" x14ac:dyDescent="0.2">
      <c r="A46" s="376" t="s">
        <v>96</v>
      </c>
      <c r="B46" s="376"/>
      <c r="C46" s="377" t="s">
        <v>137</v>
      </c>
      <c r="D46" s="377"/>
      <c r="E46" s="377"/>
      <c r="F46" s="377"/>
      <c r="G46" s="377"/>
      <c r="H46" s="377"/>
      <c r="I46" s="377"/>
      <c r="J46" s="377"/>
      <c r="K46" s="377"/>
      <c r="L46" s="377"/>
      <c r="M46" s="377"/>
      <c r="N46" s="377"/>
      <c r="O46" s="378" t="s">
        <v>85</v>
      </c>
      <c r="P46" s="5">
        <v>100</v>
      </c>
    </row>
    <row r="47" spans="1:16" ht="25.15" customHeight="1" x14ac:dyDescent="0.2">
      <c r="A47" s="395" t="s">
        <v>129</v>
      </c>
      <c r="B47" s="396"/>
      <c r="C47" s="377"/>
      <c r="D47" s="377"/>
      <c r="E47" s="377"/>
      <c r="F47" s="377"/>
      <c r="G47" s="377"/>
      <c r="H47" s="377"/>
      <c r="I47" s="377"/>
      <c r="J47" s="377"/>
      <c r="K47" s="377"/>
      <c r="L47" s="377"/>
      <c r="M47" s="377"/>
      <c r="N47" s="377"/>
      <c r="O47" s="378"/>
      <c r="P47" s="7" t="s">
        <v>30</v>
      </c>
    </row>
    <row r="48" spans="1:16" x14ac:dyDescent="0.2">
      <c r="A48" s="373" t="s">
        <v>98</v>
      </c>
      <c r="B48" s="374" t="s">
        <v>99</v>
      </c>
      <c r="C48" s="374"/>
      <c r="D48" s="374"/>
      <c r="E48" s="374"/>
      <c r="F48" s="374"/>
      <c r="G48" s="374" t="s">
        <v>100</v>
      </c>
      <c r="H48" s="374"/>
      <c r="I48" s="374"/>
      <c r="J48" s="374"/>
      <c r="K48" s="374"/>
      <c r="L48" s="374" t="s">
        <v>101</v>
      </c>
      <c r="M48" s="374"/>
      <c r="N48" s="374"/>
      <c r="O48" s="374"/>
      <c r="P48" s="374"/>
    </row>
    <row r="49" spans="1:16" x14ac:dyDescent="0.2">
      <c r="A49" s="373"/>
      <c r="B49" s="9" t="s">
        <v>102</v>
      </c>
      <c r="C49" s="9" t="s">
        <v>2</v>
      </c>
      <c r="D49" s="9" t="s">
        <v>103</v>
      </c>
      <c r="E49" s="9" t="s">
        <v>104</v>
      </c>
      <c r="F49" s="9" t="s">
        <v>86</v>
      </c>
      <c r="G49" s="9" t="s">
        <v>102</v>
      </c>
      <c r="H49" s="9" t="s">
        <v>2</v>
      </c>
      <c r="I49" s="9" t="s">
        <v>103</v>
      </c>
      <c r="J49" s="9" t="s">
        <v>104</v>
      </c>
      <c r="K49" s="9" t="s">
        <v>86</v>
      </c>
      <c r="L49" s="9" t="s">
        <v>102</v>
      </c>
      <c r="M49" s="9" t="s">
        <v>2</v>
      </c>
      <c r="N49" s="9" t="s">
        <v>103</v>
      </c>
      <c r="O49" s="9" t="s">
        <v>104</v>
      </c>
      <c r="P49" s="9" t="s">
        <v>86</v>
      </c>
    </row>
    <row r="50" spans="1:16" x14ac:dyDescent="0.2">
      <c r="A50" s="373" t="s">
        <v>136</v>
      </c>
      <c r="B50" s="26" t="s">
        <v>87</v>
      </c>
      <c r="C50" s="26" t="s">
        <v>90</v>
      </c>
      <c r="D50" s="24">
        <v>9</v>
      </c>
      <c r="E50" s="24">
        <f>E28</f>
        <v>1000</v>
      </c>
      <c r="F50" s="10">
        <f>TRUNC(D50*E50,2)</f>
        <v>9000</v>
      </c>
      <c r="G50" s="8"/>
      <c r="H50" s="8"/>
      <c r="I50" s="10"/>
      <c r="J50" s="10"/>
      <c r="K50" s="10"/>
      <c r="L50" s="29"/>
      <c r="M50" s="8"/>
      <c r="N50" s="8"/>
      <c r="O50" s="11"/>
      <c r="P50" s="11"/>
    </row>
    <row r="51" spans="1:16" x14ac:dyDescent="0.2">
      <c r="A51" s="373"/>
      <c r="B51" s="26" t="s">
        <v>88</v>
      </c>
      <c r="C51" s="26" t="s">
        <v>90</v>
      </c>
      <c r="D51" s="24">
        <v>9</v>
      </c>
      <c r="E51" s="24">
        <f>E29</f>
        <v>640</v>
      </c>
      <c r="F51" s="10">
        <f>TRUNC(D51*E51,2)</f>
        <v>5760</v>
      </c>
      <c r="G51" s="8" t="s">
        <v>121</v>
      </c>
      <c r="H51" s="8" t="s">
        <v>124</v>
      </c>
      <c r="I51" s="10">
        <v>0.31</v>
      </c>
      <c r="J51" s="10">
        <f t="shared" ref="J51:J53" si="7">J40</f>
        <v>19675.54</v>
      </c>
      <c r="K51" s="10">
        <f t="shared" ref="K51:K53" si="8">I51*J51</f>
        <v>6099.4174000000003</v>
      </c>
      <c r="L51" s="9"/>
      <c r="M51" s="9"/>
      <c r="N51" s="9"/>
      <c r="O51" s="9"/>
      <c r="P51" s="11">
        <f>N51*O51</f>
        <v>0</v>
      </c>
    </row>
    <row r="52" spans="1:16" x14ac:dyDescent="0.2">
      <c r="A52" s="21"/>
      <c r="B52" s="26"/>
      <c r="C52" s="26"/>
      <c r="D52" s="24"/>
      <c r="E52" s="24"/>
      <c r="F52" s="10"/>
      <c r="G52" s="8" t="s">
        <v>122</v>
      </c>
      <c r="H52" s="8" t="s">
        <v>92</v>
      </c>
      <c r="I52" s="10">
        <v>0.63</v>
      </c>
      <c r="J52" s="10">
        <f t="shared" si="7"/>
        <v>2122.9899999999998</v>
      </c>
      <c r="K52" s="10">
        <f t="shared" si="8"/>
        <v>1337.4836999999998</v>
      </c>
      <c r="L52" s="9"/>
      <c r="M52" s="9"/>
      <c r="N52" s="9"/>
      <c r="O52" s="9"/>
      <c r="P52" s="11"/>
    </row>
    <row r="53" spans="1:16" x14ac:dyDescent="0.2">
      <c r="A53" s="21"/>
      <c r="B53" s="26"/>
      <c r="C53" s="26"/>
      <c r="D53" s="24"/>
      <c r="E53" s="24"/>
      <c r="F53" s="10"/>
      <c r="G53" s="8" t="s">
        <v>125</v>
      </c>
      <c r="H53" s="8" t="s">
        <v>126</v>
      </c>
      <c r="I53" s="10">
        <v>0.05</v>
      </c>
      <c r="J53" s="10">
        <f t="shared" si="7"/>
        <v>0</v>
      </c>
      <c r="K53" s="10">
        <f t="shared" si="8"/>
        <v>0</v>
      </c>
      <c r="L53" s="9"/>
      <c r="M53" s="9"/>
      <c r="N53" s="9"/>
      <c r="O53" s="9"/>
      <c r="P53" s="11"/>
    </row>
    <row r="54" spans="1:16" s="15" customFormat="1" x14ac:dyDescent="0.2">
      <c r="A54" s="380" t="s">
        <v>105</v>
      </c>
      <c r="B54" s="380"/>
      <c r="C54" s="380"/>
      <c r="D54" s="380"/>
      <c r="E54" s="380"/>
      <c r="F54" s="12">
        <f>SUM(F50:F51)</f>
        <v>14760</v>
      </c>
      <c r="G54" s="380" t="s">
        <v>107</v>
      </c>
      <c r="H54" s="380"/>
      <c r="I54" s="380"/>
      <c r="J54" s="380"/>
      <c r="K54" s="10">
        <f>SUM(K50:K53)</f>
        <v>7436.9011</v>
      </c>
      <c r="L54" s="380" t="s">
        <v>109</v>
      </c>
      <c r="M54" s="380"/>
      <c r="N54" s="380"/>
      <c r="O54" s="380"/>
      <c r="P54" s="14">
        <f>SUM(P50:P51)</f>
        <v>0</v>
      </c>
    </row>
    <row r="55" spans="1:16" s="18" customFormat="1" x14ac:dyDescent="0.2">
      <c r="A55" s="381" t="s">
        <v>106</v>
      </c>
      <c r="B55" s="381"/>
      <c r="C55" s="381"/>
      <c r="D55" s="381"/>
      <c r="E55" s="381"/>
      <c r="F55" s="10">
        <f>SUM(F54,K54,P54)</f>
        <v>22196.901099999999</v>
      </c>
      <c r="G55" s="381" t="s">
        <v>108</v>
      </c>
      <c r="H55" s="381"/>
      <c r="I55" s="381"/>
      <c r="J55" s="381"/>
      <c r="K55" s="381"/>
      <c r="L55" s="10">
        <f>F55*0.15</f>
        <v>3329.5351649999998</v>
      </c>
      <c r="M55" s="382" t="s">
        <v>110</v>
      </c>
      <c r="N55" s="382"/>
      <c r="O55" s="382"/>
      <c r="P55" s="20">
        <f>TRUNC(SUM(F55,L55)/P46,2)</f>
        <v>255.26</v>
      </c>
    </row>
  </sheetData>
  <mergeCells count="76">
    <mergeCell ref="A50:A51"/>
    <mergeCell ref="A54:E54"/>
    <mergeCell ref="G54:J54"/>
    <mergeCell ref="L54:O54"/>
    <mergeCell ref="A55:E55"/>
    <mergeCell ref="G55:K55"/>
    <mergeCell ref="M55:O55"/>
    <mergeCell ref="A46:B46"/>
    <mergeCell ref="C46:N47"/>
    <mergeCell ref="O46:O47"/>
    <mergeCell ref="A47:B47"/>
    <mergeCell ref="A48:A49"/>
    <mergeCell ref="B48:F48"/>
    <mergeCell ref="G48:K48"/>
    <mergeCell ref="L48:P48"/>
    <mergeCell ref="A39:A40"/>
    <mergeCell ref="A43:E43"/>
    <mergeCell ref="G43:J43"/>
    <mergeCell ref="L43:O43"/>
    <mergeCell ref="A44:E44"/>
    <mergeCell ref="G44:K44"/>
    <mergeCell ref="M44:O44"/>
    <mergeCell ref="A35:B35"/>
    <mergeCell ref="C35:N36"/>
    <mergeCell ref="O35:O36"/>
    <mergeCell ref="A36:B36"/>
    <mergeCell ref="A37:A38"/>
    <mergeCell ref="B37:F37"/>
    <mergeCell ref="G37:K37"/>
    <mergeCell ref="L37:P37"/>
    <mergeCell ref="A32:E32"/>
    <mergeCell ref="G32:J32"/>
    <mergeCell ref="L32:O32"/>
    <mergeCell ref="A33:E33"/>
    <mergeCell ref="G33:K33"/>
    <mergeCell ref="M33:O33"/>
    <mergeCell ref="B26:F26"/>
    <mergeCell ref="G26:K26"/>
    <mergeCell ref="L26:P26"/>
    <mergeCell ref="A28:A29"/>
    <mergeCell ref="A21:E21"/>
    <mergeCell ref="A26:A27"/>
    <mergeCell ref="G21:J21"/>
    <mergeCell ref="L21:O21"/>
    <mergeCell ref="A22:E22"/>
    <mergeCell ref="G22:K22"/>
    <mergeCell ref="M22:O22"/>
    <mergeCell ref="A24:B24"/>
    <mergeCell ref="C24:N25"/>
    <mergeCell ref="O24:O25"/>
    <mergeCell ref="A25:B25"/>
    <mergeCell ref="A17:A18"/>
    <mergeCell ref="A13:B13"/>
    <mergeCell ref="C13:N14"/>
    <mergeCell ref="O13:O14"/>
    <mergeCell ref="A14:B14"/>
    <mergeCell ref="A15:A16"/>
    <mergeCell ref="B15:F15"/>
    <mergeCell ref="G15:K15"/>
    <mergeCell ref="L15:P15"/>
    <mergeCell ref="A1:P1"/>
    <mergeCell ref="A6:A7"/>
    <mergeCell ref="A10:E10"/>
    <mergeCell ref="G10:J10"/>
    <mergeCell ref="L10:O10"/>
    <mergeCell ref="A11:E11"/>
    <mergeCell ref="G11:K11"/>
    <mergeCell ref="M11:O11"/>
    <mergeCell ref="A2:B2"/>
    <mergeCell ref="A3:B3"/>
    <mergeCell ref="B4:F4"/>
    <mergeCell ref="G4:K4"/>
    <mergeCell ref="L4:P4"/>
    <mergeCell ref="A4:A5"/>
    <mergeCell ref="C2:N3"/>
    <mergeCell ref="O2:O3"/>
  </mergeCells>
  <printOptions horizontalCentered="1"/>
  <pageMargins left="0.70866141732283472" right="0.70866141732283472" top="0.74803149606299213" bottom="0.74803149606299213" header="0.31496062992125984" footer="0.31496062992125984"/>
  <pageSetup scale="75" orientation="landscape" r:id="rId1"/>
  <headerFooter>
    <oddFooter>&amp;LPrepared By:&amp;CChecked By:&amp;RApproved By: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P46"/>
  <sheetViews>
    <sheetView view="pageBreakPreview" zoomScaleNormal="100" zoomScaleSheetLayoutView="100" workbookViewId="0">
      <selection activeCell="L32" sqref="L32"/>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9.85546875" style="1" customWidth="1"/>
    <col min="7" max="7" width="11.28515625" style="1" bestFit="1" customWidth="1"/>
    <col min="8" max="8" width="11.42578125" style="1" customWidth="1"/>
    <col min="9" max="9" width="9.140625" style="1" bestFit="1" customWidth="1"/>
    <col min="10" max="11" width="9.28515625" style="1" bestFit="1" customWidth="1"/>
    <col min="12" max="12" width="24.42578125" style="1" customWidth="1"/>
    <col min="13" max="13" width="8.7109375" style="1"/>
    <col min="14" max="15" width="8.7109375" style="1" bestFit="1" customWidth="1"/>
    <col min="16" max="16" width="9.28515625" style="1" bestFit="1" customWidth="1"/>
    <col min="17" max="16384" width="8.7109375" style="1"/>
  </cols>
  <sheetData>
    <row r="1" spans="1:16" x14ac:dyDescent="0.2">
      <c r="A1" s="375" t="s">
        <v>138</v>
      </c>
      <c r="B1" s="375"/>
      <c r="C1" s="375"/>
      <c r="D1" s="375"/>
      <c r="E1" s="375"/>
      <c r="F1" s="375"/>
      <c r="G1" s="375"/>
      <c r="H1" s="375"/>
      <c r="I1" s="375"/>
      <c r="J1" s="375"/>
      <c r="K1" s="375"/>
      <c r="L1" s="375"/>
      <c r="M1" s="375"/>
      <c r="N1" s="375"/>
      <c r="O1" s="375"/>
      <c r="P1" s="375"/>
    </row>
    <row r="2" spans="1:16" x14ac:dyDescent="0.2">
      <c r="A2" s="376" t="s">
        <v>96</v>
      </c>
      <c r="B2" s="376"/>
      <c r="C2" s="377" t="s">
        <v>142</v>
      </c>
      <c r="D2" s="377"/>
      <c r="E2" s="377"/>
      <c r="F2" s="377"/>
      <c r="G2" s="377"/>
      <c r="H2" s="377"/>
      <c r="I2" s="377"/>
      <c r="J2" s="377"/>
      <c r="K2" s="377"/>
      <c r="L2" s="377"/>
      <c r="M2" s="377"/>
      <c r="N2" s="377"/>
      <c r="O2" s="378" t="s">
        <v>85</v>
      </c>
      <c r="P2" s="5">
        <v>1</v>
      </c>
    </row>
    <row r="3" spans="1:16" ht="30" customHeight="1" x14ac:dyDescent="0.2">
      <c r="A3" s="395" t="s">
        <v>139</v>
      </c>
      <c r="B3" s="396"/>
      <c r="C3" s="377"/>
      <c r="D3" s="377"/>
      <c r="E3" s="377"/>
      <c r="F3" s="377"/>
      <c r="G3" s="377"/>
      <c r="H3" s="377"/>
      <c r="I3" s="377"/>
      <c r="J3" s="377"/>
      <c r="K3" s="377"/>
      <c r="L3" s="377"/>
      <c r="M3" s="377"/>
      <c r="N3" s="377"/>
      <c r="O3" s="378"/>
      <c r="P3" s="7" t="s">
        <v>30</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9" t="s">
        <v>102</v>
      </c>
      <c r="C5" s="9" t="s">
        <v>2</v>
      </c>
      <c r="D5" s="9" t="s">
        <v>103</v>
      </c>
      <c r="E5" s="9" t="s">
        <v>104</v>
      </c>
      <c r="F5" s="9" t="s">
        <v>86</v>
      </c>
      <c r="G5" s="9" t="s">
        <v>102</v>
      </c>
      <c r="H5" s="9" t="s">
        <v>2</v>
      </c>
      <c r="I5" s="9" t="s">
        <v>103</v>
      </c>
      <c r="J5" s="9" t="s">
        <v>104</v>
      </c>
      <c r="K5" s="9" t="s">
        <v>86</v>
      </c>
      <c r="L5" s="9" t="s">
        <v>102</v>
      </c>
      <c r="M5" s="9" t="s">
        <v>2</v>
      </c>
      <c r="N5" s="9" t="s">
        <v>103</v>
      </c>
      <c r="O5" s="9" t="s">
        <v>104</v>
      </c>
      <c r="P5" s="9" t="s">
        <v>86</v>
      </c>
    </row>
    <row r="6" spans="1:16" s="31" customFormat="1" x14ac:dyDescent="0.25">
      <c r="A6" s="21" t="s">
        <v>140</v>
      </c>
      <c r="B6" s="26"/>
      <c r="C6" s="26"/>
      <c r="D6" s="24"/>
      <c r="E6" s="24"/>
      <c r="F6" s="10"/>
      <c r="G6" s="8" t="s">
        <v>141</v>
      </c>
      <c r="H6" s="8" t="s">
        <v>30</v>
      </c>
      <c r="I6" s="10">
        <v>1</v>
      </c>
      <c r="J6" s="10">
        <f>basic_rates!H46</f>
        <v>285.47000000000003</v>
      </c>
      <c r="K6" s="10">
        <f>I6*J6</f>
        <v>285.47000000000003</v>
      </c>
      <c r="L6" s="29"/>
      <c r="M6" s="8"/>
      <c r="N6" s="8"/>
      <c r="O6" s="11"/>
      <c r="P6" s="11">
        <f>F7*5%</f>
        <v>0</v>
      </c>
    </row>
    <row r="7" spans="1:16" s="32" customFormat="1" x14ac:dyDescent="0.25">
      <c r="A7" s="397" t="s">
        <v>105</v>
      </c>
      <c r="B7" s="397"/>
      <c r="C7" s="397"/>
      <c r="D7" s="397"/>
      <c r="E7" s="397"/>
      <c r="F7" s="12">
        <f>SUM(F6:F6)</f>
        <v>0</v>
      </c>
      <c r="G7" s="397" t="s">
        <v>107</v>
      </c>
      <c r="H7" s="397"/>
      <c r="I7" s="397"/>
      <c r="J7" s="397"/>
      <c r="K7" s="10">
        <f>SUM(K6:K6)</f>
        <v>285.47000000000003</v>
      </c>
      <c r="L7" s="397" t="s">
        <v>109</v>
      </c>
      <c r="M7" s="397"/>
      <c r="N7" s="397"/>
      <c r="O7" s="397"/>
      <c r="P7" s="12">
        <f>SUM(P6:P6)</f>
        <v>0</v>
      </c>
    </row>
    <row r="8" spans="1:16" s="33" customFormat="1" x14ac:dyDescent="0.25">
      <c r="A8" s="381" t="s">
        <v>106</v>
      </c>
      <c r="B8" s="381"/>
      <c r="C8" s="381"/>
      <c r="D8" s="381"/>
      <c r="E8" s="381"/>
      <c r="F8" s="10">
        <f>SUM(F7,K7,P7)</f>
        <v>285.47000000000003</v>
      </c>
      <c r="G8" s="381" t="s">
        <v>108</v>
      </c>
      <c r="H8" s="381"/>
      <c r="I8" s="381"/>
      <c r="J8" s="381"/>
      <c r="K8" s="381"/>
      <c r="L8" s="10">
        <f>F8*0.15</f>
        <v>42.820500000000003</v>
      </c>
      <c r="M8" s="382" t="s">
        <v>110</v>
      </c>
      <c r="N8" s="382"/>
      <c r="O8" s="382"/>
      <c r="P8" s="20">
        <f>TRUNC(SUM(F8,L8)/P2,2)</f>
        <v>328.29</v>
      </c>
    </row>
    <row r="9" spans="1:16" s="31" customFormat="1" x14ac:dyDescent="0.25">
      <c r="A9" s="34"/>
      <c r="B9" s="19"/>
      <c r="C9" s="19"/>
      <c r="D9" s="19"/>
      <c r="E9" s="19"/>
      <c r="F9" s="19"/>
      <c r="G9" s="19"/>
      <c r="H9" s="19"/>
      <c r="I9" s="19"/>
      <c r="J9" s="19"/>
      <c r="K9" s="19"/>
      <c r="L9" s="19"/>
      <c r="M9" s="19"/>
      <c r="N9" s="19"/>
      <c r="O9" s="19"/>
      <c r="P9" s="19"/>
    </row>
    <row r="10" spans="1:16" x14ac:dyDescent="0.2">
      <c r="A10" s="376" t="s">
        <v>96</v>
      </c>
      <c r="B10" s="376"/>
      <c r="C10" s="377" t="s">
        <v>143</v>
      </c>
      <c r="D10" s="377"/>
      <c r="E10" s="377"/>
      <c r="F10" s="377"/>
      <c r="G10" s="377"/>
      <c r="H10" s="377"/>
      <c r="I10" s="377"/>
      <c r="J10" s="377"/>
      <c r="K10" s="377"/>
      <c r="L10" s="377"/>
      <c r="M10" s="377"/>
      <c r="N10" s="377"/>
      <c r="O10" s="378" t="s">
        <v>85</v>
      </c>
      <c r="P10" s="5">
        <v>160</v>
      </c>
    </row>
    <row r="11" spans="1:16" x14ac:dyDescent="0.2">
      <c r="A11" s="395" t="s">
        <v>139</v>
      </c>
      <c r="B11" s="396"/>
      <c r="C11" s="377"/>
      <c r="D11" s="377"/>
      <c r="E11" s="377"/>
      <c r="F11" s="377"/>
      <c r="G11" s="377"/>
      <c r="H11" s="377"/>
      <c r="I11" s="377"/>
      <c r="J11" s="377"/>
      <c r="K11" s="377"/>
      <c r="L11" s="377"/>
      <c r="M11" s="377"/>
      <c r="N11" s="377"/>
      <c r="O11" s="378"/>
      <c r="P11" s="7" t="s">
        <v>30</v>
      </c>
    </row>
    <row r="12" spans="1:16" x14ac:dyDescent="0.2">
      <c r="A12" s="373" t="s">
        <v>98</v>
      </c>
      <c r="B12" s="374" t="s">
        <v>99</v>
      </c>
      <c r="C12" s="374"/>
      <c r="D12" s="374"/>
      <c r="E12" s="374"/>
      <c r="F12" s="374"/>
      <c r="G12" s="374" t="s">
        <v>100</v>
      </c>
      <c r="H12" s="374"/>
      <c r="I12" s="374"/>
      <c r="J12" s="374"/>
      <c r="K12" s="374"/>
      <c r="L12" s="374" t="s">
        <v>101</v>
      </c>
      <c r="M12" s="374"/>
      <c r="N12" s="374"/>
      <c r="O12" s="374"/>
      <c r="P12" s="374"/>
    </row>
    <row r="13" spans="1:16" x14ac:dyDescent="0.2">
      <c r="A13" s="373"/>
      <c r="B13" s="9" t="s">
        <v>102</v>
      </c>
      <c r="C13" s="9" t="s">
        <v>2</v>
      </c>
      <c r="D13" s="9" t="s">
        <v>103</v>
      </c>
      <c r="E13" s="9" t="s">
        <v>104</v>
      </c>
      <c r="F13" s="9" t="s">
        <v>86</v>
      </c>
      <c r="G13" s="9" t="s">
        <v>102</v>
      </c>
      <c r="H13" s="9" t="s">
        <v>2</v>
      </c>
      <c r="I13" s="9" t="s">
        <v>103</v>
      </c>
      <c r="J13" s="9" t="s">
        <v>104</v>
      </c>
      <c r="K13" s="9" t="s">
        <v>86</v>
      </c>
      <c r="L13" s="9" t="s">
        <v>102</v>
      </c>
      <c r="M13" s="9" t="s">
        <v>2</v>
      </c>
      <c r="N13" s="9" t="s">
        <v>103</v>
      </c>
      <c r="O13" s="9" t="s">
        <v>104</v>
      </c>
      <c r="P13" s="9" t="s">
        <v>86</v>
      </c>
    </row>
    <row r="14" spans="1:16" x14ac:dyDescent="0.2">
      <c r="A14" s="373">
        <v>24.3</v>
      </c>
      <c r="B14" s="26" t="s">
        <v>87</v>
      </c>
      <c r="C14" s="26" t="s">
        <v>90</v>
      </c>
      <c r="D14" s="24">
        <v>2</v>
      </c>
      <c r="E14" s="24">
        <f>skilled</f>
        <v>1000</v>
      </c>
      <c r="F14" s="10">
        <f>TRUNC(D14*E14,2)</f>
        <v>2000</v>
      </c>
      <c r="G14" s="8"/>
      <c r="H14" s="8"/>
      <c r="I14" s="10"/>
      <c r="J14" s="10"/>
      <c r="K14" s="10"/>
      <c r="L14" s="29"/>
      <c r="M14" s="8"/>
      <c r="N14" s="8"/>
      <c r="O14" s="11"/>
      <c r="P14" s="11"/>
    </row>
    <row r="15" spans="1:16" x14ac:dyDescent="0.2">
      <c r="A15" s="373"/>
      <c r="B15" s="26" t="s">
        <v>88</v>
      </c>
      <c r="C15" s="26" t="s">
        <v>90</v>
      </c>
      <c r="D15" s="24">
        <v>10</v>
      </c>
      <c r="E15" s="24">
        <f>basic_rates!H50</f>
        <v>640</v>
      </c>
      <c r="F15" s="10">
        <f>TRUNC(D15*E15,2)</f>
        <v>6400</v>
      </c>
      <c r="G15" s="8"/>
      <c r="H15" s="8"/>
      <c r="I15" s="10"/>
      <c r="J15" s="10"/>
      <c r="K15" s="10"/>
      <c r="L15" s="9"/>
      <c r="M15" s="9"/>
      <c r="N15" s="9"/>
      <c r="O15" s="9"/>
      <c r="P15" s="11">
        <f>N15*O15</f>
        <v>0</v>
      </c>
    </row>
    <row r="16" spans="1:16" s="15" customFormat="1" x14ac:dyDescent="0.2">
      <c r="A16" s="380" t="s">
        <v>105</v>
      </c>
      <c r="B16" s="380"/>
      <c r="C16" s="380"/>
      <c r="D16" s="380"/>
      <c r="E16" s="380"/>
      <c r="F16" s="12">
        <f>SUM(F14:F15)</f>
        <v>8400</v>
      </c>
      <c r="G16" s="380"/>
      <c r="H16" s="380"/>
      <c r="I16" s="380"/>
      <c r="J16" s="380"/>
      <c r="K16" s="10"/>
      <c r="L16" s="380" t="s">
        <v>109</v>
      </c>
      <c r="M16" s="380"/>
      <c r="N16" s="380"/>
      <c r="O16" s="380"/>
      <c r="P16" s="14">
        <f>SUM(P14:P15)</f>
        <v>0</v>
      </c>
    </row>
    <row r="17" spans="1:16" s="18" customFormat="1" x14ac:dyDescent="0.2">
      <c r="A17" s="381" t="s">
        <v>106</v>
      </c>
      <c r="B17" s="381"/>
      <c r="C17" s="381"/>
      <c r="D17" s="381"/>
      <c r="E17" s="381"/>
      <c r="F17" s="10">
        <f>SUM(F16,K16,P16)</f>
        <v>8400</v>
      </c>
      <c r="G17" s="381" t="s">
        <v>108</v>
      </c>
      <c r="H17" s="381"/>
      <c r="I17" s="381"/>
      <c r="J17" s="381"/>
      <c r="K17" s="381"/>
      <c r="L17" s="10">
        <f>F17*0.15</f>
        <v>1260</v>
      </c>
      <c r="M17" s="382" t="s">
        <v>110</v>
      </c>
      <c r="N17" s="382"/>
      <c r="O17" s="382"/>
      <c r="P17" s="20">
        <f>TRUNC(SUM(F17,L17)/P10,2)</f>
        <v>60.37</v>
      </c>
    </row>
    <row r="19" spans="1:16" x14ac:dyDescent="0.2">
      <c r="A19" s="376" t="s">
        <v>96</v>
      </c>
      <c r="B19" s="376"/>
      <c r="C19" s="377" t="s">
        <v>144</v>
      </c>
      <c r="D19" s="377"/>
      <c r="E19" s="377"/>
      <c r="F19" s="377"/>
      <c r="G19" s="377"/>
      <c r="H19" s="377"/>
      <c r="I19" s="377"/>
      <c r="J19" s="377"/>
      <c r="K19" s="377"/>
      <c r="L19" s="377"/>
      <c r="M19" s="377"/>
      <c r="N19" s="377"/>
      <c r="O19" s="378" t="s">
        <v>85</v>
      </c>
      <c r="P19" s="5">
        <v>10</v>
      </c>
    </row>
    <row r="20" spans="1:16" x14ac:dyDescent="0.2">
      <c r="A20" s="395" t="s">
        <v>139</v>
      </c>
      <c r="B20" s="396"/>
      <c r="C20" s="377"/>
      <c r="D20" s="377"/>
      <c r="E20" s="377"/>
      <c r="F20" s="377"/>
      <c r="G20" s="377"/>
      <c r="H20" s="377"/>
      <c r="I20" s="377"/>
      <c r="J20" s="377"/>
      <c r="K20" s="377"/>
      <c r="L20" s="377"/>
      <c r="M20" s="377"/>
      <c r="N20" s="377"/>
      <c r="O20" s="378"/>
      <c r="P20" s="7" t="s">
        <v>92</v>
      </c>
    </row>
    <row r="21" spans="1:16" x14ac:dyDescent="0.2">
      <c r="A21" s="373" t="s">
        <v>98</v>
      </c>
      <c r="B21" s="374" t="s">
        <v>99</v>
      </c>
      <c r="C21" s="374"/>
      <c r="D21" s="374"/>
      <c r="E21" s="374"/>
      <c r="F21" s="374"/>
      <c r="G21" s="374" t="s">
        <v>100</v>
      </c>
      <c r="H21" s="374"/>
      <c r="I21" s="374"/>
      <c r="J21" s="374"/>
      <c r="K21" s="374"/>
      <c r="L21" s="374" t="s">
        <v>101</v>
      </c>
      <c r="M21" s="374"/>
      <c r="N21" s="374"/>
      <c r="O21" s="374"/>
      <c r="P21" s="374"/>
    </row>
    <row r="22" spans="1:16" x14ac:dyDescent="0.2">
      <c r="A22" s="373"/>
      <c r="B22" s="9" t="s">
        <v>102</v>
      </c>
      <c r="C22" s="9" t="s">
        <v>2</v>
      </c>
      <c r="D22" s="9" t="s">
        <v>103</v>
      </c>
      <c r="E22" s="9" t="s">
        <v>104</v>
      </c>
      <c r="F22" s="9" t="s">
        <v>86</v>
      </c>
      <c r="G22" s="9" t="s">
        <v>102</v>
      </c>
      <c r="H22" s="9" t="s">
        <v>2</v>
      </c>
      <c r="I22" s="9" t="s">
        <v>103</v>
      </c>
      <c r="J22" s="9" t="s">
        <v>104</v>
      </c>
      <c r="K22" s="9" t="s">
        <v>86</v>
      </c>
      <c r="L22" s="9" t="s">
        <v>102</v>
      </c>
      <c r="M22" s="9" t="s">
        <v>2</v>
      </c>
      <c r="N22" s="9" t="s">
        <v>103</v>
      </c>
      <c r="O22" s="9" t="s">
        <v>104</v>
      </c>
      <c r="P22" s="9" t="s">
        <v>86</v>
      </c>
    </row>
    <row r="23" spans="1:16" x14ac:dyDescent="0.2">
      <c r="A23" s="373">
        <v>24.4</v>
      </c>
      <c r="B23" s="26" t="s">
        <v>87</v>
      </c>
      <c r="C23" s="26" t="s">
        <v>90</v>
      </c>
      <c r="D23" s="24">
        <v>2</v>
      </c>
      <c r="E23" s="24">
        <f>skilled</f>
        <v>1000</v>
      </c>
      <c r="F23" s="10">
        <f>TRUNC(D23*E23,2)</f>
        <v>2000</v>
      </c>
      <c r="G23" s="8" t="s">
        <v>35</v>
      </c>
      <c r="H23" s="8" t="s">
        <v>92</v>
      </c>
      <c r="I23" s="10">
        <v>11</v>
      </c>
      <c r="J23" s="10">
        <f>basic_rates!H29</f>
        <v>1522.99</v>
      </c>
      <c r="K23" s="10">
        <f>I23*J23</f>
        <v>16752.89</v>
      </c>
      <c r="L23" s="29"/>
      <c r="M23" s="8"/>
      <c r="N23" s="8"/>
      <c r="O23" s="11"/>
      <c r="P23" s="11"/>
    </row>
    <row r="24" spans="1:16" x14ac:dyDescent="0.2">
      <c r="A24" s="373"/>
      <c r="B24" s="26" t="s">
        <v>88</v>
      </c>
      <c r="C24" s="26" t="s">
        <v>90</v>
      </c>
      <c r="D24" s="24">
        <v>8</v>
      </c>
      <c r="E24" s="24">
        <f>basic_rates!D50</f>
        <v>640</v>
      </c>
      <c r="F24" s="10">
        <f>TRUNC(D24*E24,2)</f>
        <v>5120</v>
      </c>
      <c r="G24" s="8"/>
      <c r="H24" s="8"/>
      <c r="I24" s="10"/>
      <c r="J24" s="10"/>
      <c r="K24" s="10"/>
      <c r="L24" s="9"/>
      <c r="M24" s="9"/>
      <c r="N24" s="9"/>
      <c r="O24" s="9"/>
      <c r="P24" s="11"/>
    </row>
    <row r="25" spans="1:16" s="15" customFormat="1" x14ac:dyDescent="0.2">
      <c r="A25" s="380" t="s">
        <v>105</v>
      </c>
      <c r="B25" s="380"/>
      <c r="C25" s="380"/>
      <c r="D25" s="380"/>
      <c r="E25" s="380"/>
      <c r="F25" s="12">
        <f>SUM(F23:F24)</f>
        <v>7120</v>
      </c>
      <c r="G25" s="380" t="s">
        <v>107</v>
      </c>
      <c r="H25" s="380"/>
      <c r="I25" s="380"/>
      <c r="J25" s="380"/>
      <c r="K25" s="10">
        <f>SUM(K23:K24)</f>
        <v>16752.89</v>
      </c>
      <c r="L25" s="380" t="s">
        <v>109</v>
      </c>
      <c r="M25" s="380"/>
      <c r="N25" s="380"/>
      <c r="O25" s="380"/>
      <c r="P25" s="14">
        <f>SUM(P23:P24)</f>
        <v>0</v>
      </c>
    </row>
    <row r="26" spans="1:16" s="18" customFormat="1" x14ac:dyDescent="0.2">
      <c r="A26" s="381" t="s">
        <v>106</v>
      </c>
      <c r="B26" s="381"/>
      <c r="C26" s="381"/>
      <c r="D26" s="381"/>
      <c r="E26" s="381"/>
      <c r="F26" s="10">
        <f>SUM(F25,K25,P25)</f>
        <v>23872.89</v>
      </c>
      <c r="G26" s="381" t="s">
        <v>108</v>
      </c>
      <c r="H26" s="381"/>
      <c r="I26" s="381"/>
      <c r="J26" s="381"/>
      <c r="K26" s="381"/>
      <c r="L26" s="10">
        <f>F26*0.15</f>
        <v>3580.9334999999996</v>
      </c>
      <c r="M26" s="382" t="s">
        <v>110</v>
      </c>
      <c r="N26" s="382"/>
      <c r="O26" s="382"/>
      <c r="P26" s="20">
        <f>TRUNC(SUM(F26,L26)/P19,2)</f>
        <v>2745.38</v>
      </c>
    </row>
    <row r="28" spans="1:16" ht="14.65" customHeight="1" x14ac:dyDescent="0.2">
      <c r="A28" s="378" t="s">
        <v>145</v>
      </c>
      <c r="B28" s="378"/>
      <c r="C28" s="378"/>
      <c r="D28" s="378"/>
      <c r="E28" s="378"/>
      <c r="F28" s="378"/>
      <c r="G28" s="378"/>
      <c r="H28" s="3" t="s">
        <v>146</v>
      </c>
      <c r="I28" s="3" t="s">
        <v>148</v>
      </c>
    </row>
    <row r="29" spans="1:16" ht="13.5" customHeight="1" x14ac:dyDescent="0.2">
      <c r="A29" s="378"/>
      <c r="B29" s="378"/>
      <c r="C29" s="378"/>
      <c r="D29" s="378"/>
      <c r="E29" s="378"/>
      <c r="F29" s="378"/>
      <c r="G29" s="378"/>
      <c r="H29" s="3" t="s">
        <v>147</v>
      </c>
      <c r="I29" s="3">
        <v>8</v>
      </c>
    </row>
    <row r="30" spans="1:16" x14ac:dyDescent="0.2">
      <c r="A30" s="378"/>
      <c r="B30" s="378"/>
      <c r="C30" s="378"/>
      <c r="D30" s="378"/>
      <c r="E30" s="378"/>
      <c r="F30" s="378"/>
      <c r="G30" s="378"/>
      <c r="H30" s="3" t="s">
        <v>149</v>
      </c>
      <c r="I30" s="3">
        <v>11</v>
      </c>
    </row>
    <row r="31" spans="1:16" x14ac:dyDescent="0.2">
      <c r="A31" s="378"/>
      <c r="B31" s="378"/>
      <c r="C31" s="378"/>
      <c r="D31" s="378"/>
      <c r="E31" s="378"/>
      <c r="F31" s="378"/>
      <c r="G31" s="378"/>
      <c r="H31" s="3" t="s">
        <v>150</v>
      </c>
      <c r="I31" s="3">
        <v>16</v>
      </c>
    </row>
    <row r="33" spans="1:16" x14ac:dyDescent="0.2">
      <c r="E33" s="398" t="s">
        <v>151</v>
      </c>
      <c r="F33" s="399"/>
      <c r="G33" s="399"/>
      <c r="H33" s="400"/>
      <c r="I33" s="6">
        <f>P8</f>
        <v>328.29</v>
      </c>
      <c r="J33" s="3" t="s">
        <v>154</v>
      </c>
    </row>
    <row r="34" spans="1:16" x14ac:dyDescent="0.2">
      <c r="E34" s="398" t="s">
        <v>152</v>
      </c>
      <c r="F34" s="399"/>
      <c r="G34" s="399"/>
      <c r="H34" s="400"/>
      <c r="I34" s="6">
        <f>P17</f>
        <v>60.37</v>
      </c>
      <c r="J34" s="3" t="s">
        <v>154</v>
      </c>
    </row>
    <row r="35" spans="1:16" x14ac:dyDescent="0.2">
      <c r="E35" s="398" t="s">
        <v>153</v>
      </c>
      <c r="F35" s="399"/>
      <c r="G35" s="399"/>
      <c r="H35" s="400"/>
      <c r="I35" s="6">
        <f>P26</f>
        <v>2745.38</v>
      </c>
      <c r="J35" s="3" t="s">
        <v>155</v>
      </c>
    </row>
    <row r="36" spans="1:16" x14ac:dyDescent="0.2">
      <c r="E36" s="379" t="s">
        <v>157</v>
      </c>
      <c r="F36" s="379"/>
      <c r="G36" s="379"/>
      <c r="H36" s="379"/>
      <c r="I36" s="5">
        <f>(I31/3+I30/2+I29/1.5)/3</f>
        <v>5.3888888888888884</v>
      </c>
    </row>
    <row r="37" spans="1:16" x14ac:dyDescent="0.2">
      <c r="E37" s="401" t="s">
        <v>156</v>
      </c>
      <c r="F37" s="401"/>
      <c r="G37" s="401"/>
      <c r="H37" s="401"/>
      <c r="I37" s="35">
        <f>I36*SUM(I33:I34)+I35</f>
        <v>4839.8255555555552</v>
      </c>
      <c r="J37" s="1" t="s">
        <v>93</v>
      </c>
    </row>
    <row r="38" spans="1:16" x14ac:dyDescent="0.2">
      <c r="H38" s="28"/>
    </row>
    <row r="39" spans="1:16" x14ac:dyDescent="0.2">
      <c r="A39" s="376" t="s">
        <v>96</v>
      </c>
      <c r="B39" s="376"/>
      <c r="C39" s="377" t="s">
        <v>159</v>
      </c>
      <c r="D39" s="377"/>
      <c r="E39" s="377"/>
      <c r="F39" s="377"/>
      <c r="G39" s="377"/>
      <c r="H39" s="377"/>
      <c r="I39" s="377"/>
      <c r="J39" s="377"/>
      <c r="K39" s="377"/>
      <c r="L39" s="377"/>
      <c r="M39" s="377"/>
      <c r="N39" s="377"/>
      <c r="O39" s="378" t="s">
        <v>85</v>
      </c>
      <c r="P39" s="5">
        <v>300</v>
      </c>
    </row>
    <row r="40" spans="1:16" x14ac:dyDescent="0.2">
      <c r="A40" s="395" t="s">
        <v>158</v>
      </c>
      <c r="B40" s="396"/>
      <c r="C40" s="377"/>
      <c r="D40" s="377"/>
      <c r="E40" s="377"/>
      <c r="F40" s="377"/>
      <c r="G40" s="377"/>
      <c r="H40" s="377"/>
      <c r="I40" s="377"/>
      <c r="J40" s="377"/>
      <c r="K40" s="377"/>
      <c r="L40" s="377"/>
      <c r="M40" s="377"/>
      <c r="N40" s="377"/>
      <c r="O40" s="378"/>
      <c r="P40" s="7" t="s">
        <v>30</v>
      </c>
    </row>
    <row r="41" spans="1:16" x14ac:dyDescent="0.2">
      <c r="A41" s="373" t="s">
        <v>98</v>
      </c>
      <c r="B41" s="374" t="s">
        <v>99</v>
      </c>
      <c r="C41" s="374"/>
      <c r="D41" s="374"/>
      <c r="E41" s="374"/>
      <c r="F41" s="374"/>
      <c r="G41" s="374" t="s">
        <v>100</v>
      </c>
      <c r="H41" s="374"/>
      <c r="I41" s="374"/>
      <c r="J41" s="374"/>
      <c r="K41" s="374"/>
      <c r="L41" s="374" t="s">
        <v>101</v>
      </c>
      <c r="M41" s="374"/>
      <c r="N41" s="374"/>
      <c r="O41" s="374"/>
      <c r="P41" s="374"/>
    </row>
    <row r="42" spans="1:16" x14ac:dyDescent="0.2">
      <c r="A42" s="373"/>
      <c r="B42" s="9" t="s">
        <v>102</v>
      </c>
      <c r="C42" s="9" t="s">
        <v>2</v>
      </c>
      <c r="D42" s="9" t="s">
        <v>103</v>
      </c>
      <c r="E42" s="9" t="s">
        <v>104</v>
      </c>
      <c r="F42" s="9" t="s">
        <v>86</v>
      </c>
      <c r="G42" s="9" t="s">
        <v>102</v>
      </c>
      <c r="H42" s="9" t="s">
        <v>2</v>
      </c>
      <c r="I42" s="9" t="s">
        <v>103</v>
      </c>
      <c r="J42" s="9" t="s">
        <v>104</v>
      </c>
      <c r="K42" s="9" t="s">
        <v>86</v>
      </c>
      <c r="L42" s="9" t="s">
        <v>102</v>
      </c>
      <c r="M42" s="9" t="s">
        <v>2</v>
      </c>
      <c r="N42" s="9" t="s">
        <v>103</v>
      </c>
      <c r="O42" s="9" t="s">
        <v>104</v>
      </c>
      <c r="P42" s="9" t="s">
        <v>86</v>
      </c>
    </row>
    <row r="43" spans="1:16" x14ac:dyDescent="0.2">
      <c r="A43" s="373">
        <v>24.5</v>
      </c>
      <c r="B43" s="26" t="s">
        <v>87</v>
      </c>
      <c r="C43" s="26" t="s">
        <v>90</v>
      </c>
      <c r="D43" s="24">
        <v>1</v>
      </c>
      <c r="E43" s="24">
        <f>skilled</f>
        <v>1000</v>
      </c>
      <c r="F43" s="10">
        <f>TRUNC(D43*E43,2)</f>
        <v>1000</v>
      </c>
      <c r="G43" s="8" t="s">
        <v>29</v>
      </c>
      <c r="H43" s="8" t="s">
        <v>30</v>
      </c>
      <c r="I43" s="10">
        <v>360</v>
      </c>
      <c r="J43" s="10">
        <f>basic_rates!H24</f>
        <v>90</v>
      </c>
      <c r="K43" s="10">
        <f>I43*J43</f>
        <v>32400</v>
      </c>
      <c r="L43" s="29"/>
      <c r="M43" s="8"/>
      <c r="N43" s="8"/>
      <c r="O43" s="11"/>
      <c r="P43" s="11"/>
    </row>
    <row r="44" spans="1:16" x14ac:dyDescent="0.2">
      <c r="A44" s="373"/>
      <c r="B44" s="26" t="s">
        <v>88</v>
      </c>
      <c r="C44" s="26" t="s">
        <v>90</v>
      </c>
      <c r="D44" s="24">
        <v>2</v>
      </c>
      <c r="E44" s="24">
        <f>basic_rates!D50</f>
        <v>640</v>
      </c>
      <c r="F44" s="10">
        <f>TRUNC(D44*E44,2)</f>
        <v>1280</v>
      </c>
      <c r="G44" s="8"/>
      <c r="H44" s="8"/>
      <c r="I44" s="10"/>
      <c r="J44" s="10"/>
      <c r="K44" s="10"/>
      <c r="L44" s="9"/>
      <c r="M44" s="9"/>
      <c r="N44" s="9"/>
      <c r="O44" s="9"/>
      <c r="P44" s="11"/>
    </row>
    <row r="45" spans="1:16" s="15" customFormat="1" x14ac:dyDescent="0.2">
      <c r="A45" s="380" t="s">
        <v>105</v>
      </c>
      <c r="B45" s="380"/>
      <c r="C45" s="380"/>
      <c r="D45" s="380"/>
      <c r="E45" s="380"/>
      <c r="F45" s="12">
        <f>SUM(F43:F44)</f>
        <v>2280</v>
      </c>
      <c r="G45" s="380" t="s">
        <v>107</v>
      </c>
      <c r="H45" s="380"/>
      <c r="I45" s="380"/>
      <c r="J45" s="380"/>
      <c r="K45" s="10">
        <f>SUM(K43:K44)</f>
        <v>32400</v>
      </c>
      <c r="L45" s="380" t="s">
        <v>109</v>
      </c>
      <c r="M45" s="380"/>
      <c r="N45" s="380"/>
      <c r="O45" s="380"/>
      <c r="P45" s="14">
        <f>SUM(P43:P44)</f>
        <v>0</v>
      </c>
    </row>
    <row r="46" spans="1:16" s="18" customFormat="1" x14ac:dyDescent="0.2">
      <c r="A46" s="381" t="s">
        <v>106</v>
      </c>
      <c r="B46" s="381"/>
      <c r="C46" s="381"/>
      <c r="D46" s="381"/>
      <c r="E46" s="381"/>
      <c r="F46" s="10">
        <f>SUM(F45,K45,P45)</f>
        <v>34680</v>
      </c>
      <c r="G46" s="381" t="s">
        <v>108</v>
      </c>
      <c r="H46" s="381"/>
      <c r="I46" s="381"/>
      <c r="J46" s="381"/>
      <c r="K46" s="381"/>
      <c r="L46" s="10">
        <f>F46*0.15</f>
        <v>5202</v>
      </c>
      <c r="M46" s="382" t="s">
        <v>110</v>
      </c>
      <c r="N46" s="382"/>
      <c r="O46" s="382"/>
      <c r="P46" s="20">
        <f>TRUNC(SUM(F46,L46)/P39,2)</f>
        <v>132.94</v>
      </c>
    </row>
  </sheetData>
  <mergeCells count="66">
    <mergeCell ref="A45:E45"/>
    <mergeCell ref="G45:J45"/>
    <mergeCell ref="L45:O45"/>
    <mergeCell ref="A46:E46"/>
    <mergeCell ref="G46:K46"/>
    <mergeCell ref="M46:O46"/>
    <mergeCell ref="A43:A44"/>
    <mergeCell ref="A41:A42"/>
    <mergeCell ref="B41:F41"/>
    <mergeCell ref="E33:H33"/>
    <mergeCell ref="E34:H34"/>
    <mergeCell ref="E35:H35"/>
    <mergeCell ref="E36:H36"/>
    <mergeCell ref="E37:H37"/>
    <mergeCell ref="O39:O40"/>
    <mergeCell ref="G41:K41"/>
    <mergeCell ref="A28:G31"/>
    <mergeCell ref="A23:A24"/>
    <mergeCell ref="A25:E25"/>
    <mergeCell ref="G25:J25"/>
    <mergeCell ref="L25:O25"/>
    <mergeCell ref="A26:E26"/>
    <mergeCell ref="G26:K26"/>
    <mergeCell ref="M26:O26"/>
    <mergeCell ref="A39:B39"/>
    <mergeCell ref="C39:N40"/>
    <mergeCell ref="A40:B40"/>
    <mergeCell ref="L41:P41"/>
    <mergeCell ref="A19:B19"/>
    <mergeCell ref="C19:N20"/>
    <mergeCell ref="O19:O20"/>
    <mergeCell ref="A20:B20"/>
    <mergeCell ref="A21:A22"/>
    <mergeCell ref="B21:F21"/>
    <mergeCell ref="G21:K21"/>
    <mergeCell ref="L21:P21"/>
    <mergeCell ref="A14:A15"/>
    <mergeCell ref="A16:E16"/>
    <mergeCell ref="G16:J16"/>
    <mergeCell ref="L16:O16"/>
    <mergeCell ref="A17:E17"/>
    <mergeCell ref="G17:K17"/>
    <mergeCell ref="M17:O17"/>
    <mergeCell ref="A10:B10"/>
    <mergeCell ref="C10:N11"/>
    <mergeCell ref="O10:O11"/>
    <mergeCell ref="A11:B11"/>
    <mergeCell ref="A12:A13"/>
    <mergeCell ref="B12:F12"/>
    <mergeCell ref="G12:K12"/>
    <mergeCell ref="L12:P12"/>
    <mergeCell ref="A7:E7"/>
    <mergeCell ref="G7:J7"/>
    <mergeCell ref="L7:O7"/>
    <mergeCell ref="A8:E8"/>
    <mergeCell ref="G8:K8"/>
    <mergeCell ref="M8:O8"/>
    <mergeCell ref="A4:A5"/>
    <mergeCell ref="B4:F4"/>
    <mergeCell ref="G4:K4"/>
    <mergeCell ref="L4:P4"/>
    <mergeCell ref="A1:P1"/>
    <mergeCell ref="A2:B2"/>
    <mergeCell ref="C2:N3"/>
    <mergeCell ref="O2:O3"/>
    <mergeCell ref="A3:B3"/>
  </mergeCells>
  <printOptions horizontalCentered="1"/>
  <pageMargins left="0.70866141732283472" right="0.70866141732283472" top="0.74803149606299213" bottom="0.74803149606299213" header="0.31496062992125984" footer="0.31496062992125984"/>
  <pageSetup paperSize="9" scale="75" orientation="landscape" r:id="rId1"/>
  <headerFooter>
    <oddFooter>&amp;LPrepared By:&amp;CChecked By:&amp;RApproved By:</oddFooter>
  </headerFooter>
  <rowBreaks count="1" manualBreakCount="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46"/>
  <sheetViews>
    <sheetView view="pageBreakPreview" zoomScaleNormal="100" zoomScaleSheetLayoutView="100" workbookViewId="0">
      <selection activeCell="C26" sqref="C26:N27"/>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10.5703125" style="1" bestFit="1" customWidth="1"/>
    <col min="7" max="7" width="14.140625" style="1" bestFit="1" customWidth="1"/>
    <col min="8" max="8" width="9.140625" style="1" customWidth="1"/>
    <col min="9" max="9" width="6.28515625" style="1" customWidth="1"/>
    <col min="10" max="10" width="9.28515625" style="1" bestFit="1" customWidth="1"/>
    <col min="11" max="11" width="10.140625" style="1" bestFit="1" customWidth="1"/>
    <col min="12" max="12" width="24.42578125" style="1" customWidth="1"/>
    <col min="13" max="13" width="8.7109375" style="1"/>
    <col min="14" max="15" width="8.7109375" style="1" bestFit="1" customWidth="1"/>
    <col min="16" max="16" width="9.28515625" style="1" bestFit="1" customWidth="1"/>
    <col min="17" max="16384" width="8.7109375" style="1"/>
  </cols>
  <sheetData>
    <row r="1" spans="1:16" x14ac:dyDescent="0.2">
      <c r="A1" s="375" t="s">
        <v>117</v>
      </c>
      <c r="B1" s="375"/>
      <c r="C1" s="375"/>
      <c r="D1" s="375"/>
      <c r="E1" s="375"/>
      <c r="F1" s="375"/>
      <c r="G1" s="375"/>
      <c r="H1" s="375"/>
      <c r="I1" s="375"/>
      <c r="J1" s="375"/>
      <c r="K1" s="375"/>
      <c r="L1" s="375"/>
      <c r="M1" s="375"/>
      <c r="N1" s="375"/>
      <c r="O1" s="375"/>
      <c r="P1" s="375"/>
    </row>
    <row r="2" spans="1:16" x14ac:dyDescent="0.2">
      <c r="A2" s="376" t="s">
        <v>96</v>
      </c>
      <c r="B2" s="376"/>
      <c r="C2" s="377" t="s">
        <v>161</v>
      </c>
      <c r="D2" s="377"/>
      <c r="E2" s="377"/>
      <c r="F2" s="377"/>
      <c r="G2" s="377"/>
      <c r="H2" s="377"/>
      <c r="I2" s="377"/>
      <c r="J2" s="377"/>
      <c r="K2" s="377"/>
      <c r="L2" s="377"/>
      <c r="M2" s="377"/>
      <c r="N2" s="377"/>
      <c r="O2" s="378" t="s">
        <v>85</v>
      </c>
      <c r="P2" s="5">
        <v>15</v>
      </c>
    </row>
    <row r="3" spans="1:16" x14ac:dyDescent="0.2">
      <c r="A3" s="395" t="s">
        <v>160</v>
      </c>
      <c r="B3" s="396"/>
      <c r="C3" s="377"/>
      <c r="D3" s="377"/>
      <c r="E3" s="377"/>
      <c r="F3" s="377"/>
      <c r="G3" s="377"/>
      <c r="H3" s="377"/>
      <c r="I3" s="377"/>
      <c r="J3" s="377"/>
      <c r="K3" s="377"/>
      <c r="L3" s="377"/>
      <c r="M3" s="377"/>
      <c r="N3" s="377"/>
      <c r="O3" s="378"/>
      <c r="P3" s="7" t="s">
        <v>92</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9" t="s">
        <v>102</v>
      </c>
      <c r="C5" s="9" t="s">
        <v>2</v>
      </c>
      <c r="D5" s="9" t="s">
        <v>103</v>
      </c>
      <c r="E5" s="9" t="s">
        <v>104</v>
      </c>
      <c r="F5" s="9" t="s">
        <v>86</v>
      </c>
      <c r="G5" s="9" t="s">
        <v>102</v>
      </c>
      <c r="H5" s="9" t="s">
        <v>2</v>
      </c>
      <c r="I5" s="9" t="s">
        <v>103</v>
      </c>
      <c r="J5" s="9" t="s">
        <v>104</v>
      </c>
      <c r="K5" s="9" t="s">
        <v>86</v>
      </c>
      <c r="L5" s="9" t="s">
        <v>102</v>
      </c>
      <c r="M5" s="9" t="s">
        <v>2</v>
      </c>
      <c r="N5" s="9" t="s">
        <v>103</v>
      </c>
      <c r="O5" s="9" t="s">
        <v>104</v>
      </c>
      <c r="P5" s="9" t="s">
        <v>86</v>
      </c>
    </row>
    <row r="6" spans="1:16" s="31" customFormat="1" ht="27" x14ac:dyDescent="0.25">
      <c r="A6" s="373">
        <v>20.100000000000001</v>
      </c>
      <c r="B6" s="26" t="s">
        <v>87</v>
      </c>
      <c r="C6" s="26" t="s">
        <v>90</v>
      </c>
      <c r="D6" s="24">
        <v>2</v>
      </c>
      <c r="E6" s="24">
        <f>basic_rates!D49</f>
        <v>1000</v>
      </c>
      <c r="F6" s="10">
        <f>TRUNC(D6*E6,2)</f>
        <v>2000</v>
      </c>
      <c r="G6" s="22" t="s">
        <v>162</v>
      </c>
      <c r="H6" s="8" t="s">
        <v>92</v>
      </c>
      <c r="I6" s="10">
        <v>13.5</v>
      </c>
      <c r="J6" s="24">
        <f>basic_rates!H28</f>
        <v>1641.39</v>
      </c>
      <c r="K6" s="10">
        <f>I6*J6</f>
        <v>22158.765000000003</v>
      </c>
      <c r="L6" s="29" t="s">
        <v>164</v>
      </c>
      <c r="M6" s="8"/>
      <c r="N6" s="8"/>
      <c r="O6" s="11"/>
      <c r="P6" s="11">
        <f>F10*50%</f>
        <v>8040</v>
      </c>
    </row>
    <row r="7" spans="1:16" s="31" customFormat="1" x14ac:dyDescent="0.25">
      <c r="A7" s="373"/>
      <c r="B7" s="26" t="s">
        <v>88</v>
      </c>
      <c r="C7" s="26" t="s">
        <v>90</v>
      </c>
      <c r="D7" s="24">
        <v>22</v>
      </c>
      <c r="E7" s="24">
        <f>basic_rates!D50</f>
        <v>640</v>
      </c>
      <c r="F7" s="10">
        <f>TRUNC(D7*E7,2)</f>
        <v>14080</v>
      </c>
      <c r="G7" s="8" t="s">
        <v>163</v>
      </c>
      <c r="H7" s="8" t="s">
        <v>92</v>
      </c>
      <c r="I7" s="10">
        <v>6.75</v>
      </c>
      <c r="J7" s="24">
        <f>basic_rates!H27</f>
        <v>2122.9899999999998</v>
      </c>
      <c r="K7" s="10">
        <f t="shared" ref="K7:K9" si="0">I7*J7</f>
        <v>14330.182499999999</v>
      </c>
      <c r="L7" s="9"/>
      <c r="M7" s="9"/>
      <c r="N7" s="9"/>
      <c r="O7" s="27"/>
      <c r="P7" s="11">
        <f>N7*O7</f>
        <v>0</v>
      </c>
    </row>
    <row r="8" spans="1:16" s="31" customFormat="1" x14ac:dyDescent="0.25">
      <c r="A8" s="21"/>
      <c r="B8" s="26"/>
      <c r="C8" s="26"/>
      <c r="D8" s="24"/>
      <c r="E8" s="24"/>
      <c r="F8" s="10"/>
      <c r="G8" s="8" t="s">
        <v>121</v>
      </c>
      <c r="H8" s="8" t="s">
        <v>124</v>
      </c>
      <c r="I8" s="10">
        <v>3.45</v>
      </c>
      <c r="J8" s="24">
        <f>basic_rates!H12</f>
        <v>19675.54</v>
      </c>
      <c r="K8" s="10">
        <f t="shared" si="0"/>
        <v>67880.613000000012</v>
      </c>
      <c r="L8" s="9"/>
      <c r="M8" s="9"/>
      <c r="N8" s="9"/>
      <c r="O8" s="9"/>
      <c r="P8" s="11"/>
    </row>
    <row r="9" spans="1:16" s="31" customFormat="1" x14ac:dyDescent="0.25">
      <c r="A9" s="21"/>
      <c r="B9" s="26"/>
      <c r="C9" s="26"/>
      <c r="D9" s="24"/>
      <c r="E9" s="24"/>
      <c r="F9" s="10"/>
      <c r="G9" s="8" t="s">
        <v>125</v>
      </c>
      <c r="H9" s="8" t="s">
        <v>126</v>
      </c>
      <c r="I9" s="10">
        <v>2</v>
      </c>
      <c r="J9" s="10">
        <v>0</v>
      </c>
      <c r="K9" s="10">
        <f t="shared" si="0"/>
        <v>0</v>
      </c>
      <c r="L9" s="9"/>
      <c r="M9" s="9"/>
      <c r="N9" s="9"/>
      <c r="O9" s="9"/>
      <c r="P9" s="11"/>
    </row>
    <row r="10" spans="1:16" s="32" customFormat="1" x14ac:dyDescent="0.25">
      <c r="A10" s="397" t="s">
        <v>105</v>
      </c>
      <c r="B10" s="397"/>
      <c r="C10" s="397"/>
      <c r="D10" s="397"/>
      <c r="E10" s="397"/>
      <c r="F10" s="12">
        <f>SUM(F6:F7)</f>
        <v>16080</v>
      </c>
      <c r="G10" s="397" t="s">
        <v>107</v>
      </c>
      <c r="H10" s="397"/>
      <c r="I10" s="397"/>
      <c r="J10" s="397"/>
      <c r="K10" s="10">
        <f>SUM(K6:K9)</f>
        <v>104369.56050000002</v>
      </c>
      <c r="L10" s="397" t="s">
        <v>109</v>
      </c>
      <c r="M10" s="397"/>
      <c r="N10" s="397"/>
      <c r="O10" s="397"/>
      <c r="P10" s="12">
        <f>SUM(P6:P7)</f>
        <v>8040</v>
      </c>
    </row>
    <row r="11" spans="1:16" s="33" customFormat="1" x14ac:dyDescent="0.25">
      <c r="A11" s="381" t="s">
        <v>106</v>
      </c>
      <c r="B11" s="381"/>
      <c r="C11" s="381"/>
      <c r="D11" s="381"/>
      <c r="E11" s="381"/>
      <c r="F11" s="10">
        <f>SUM(F10,K10,P10)</f>
        <v>128489.56050000002</v>
      </c>
      <c r="G11" s="381" t="s">
        <v>108</v>
      </c>
      <c r="H11" s="381"/>
      <c r="I11" s="381"/>
      <c r="J11" s="381"/>
      <c r="K11" s="381"/>
      <c r="L11" s="10"/>
      <c r="M11" s="382" t="s">
        <v>110</v>
      </c>
      <c r="N11" s="382"/>
      <c r="O11" s="382"/>
      <c r="P11" s="20">
        <f>TRUNC(SUM(F11,L11)/P2,2)</f>
        <v>8565.9699999999993</v>
      </c>
    </row>
    <row r="12" spans="1:16" s="31" customFormat="1" x14ac:dyDescent="0.25">
      <c r="A12" s="34"/>
      <c r="B12" s="19"/>
      <c r="C12" s="19"/>
      <c r="D12" s="19"/>
      <c r="E12" s="19"/>
      <c r="F12" s="19"/>
      <c r="G12" s="19"/>
      <c r="H12" s="19"/>
      <c r="I12" s="19"/>
      <c r="J12" s="19"/>
      <c r="K12" s="19"/>
      <c r="L12" s="19"/>
      <c r="M12" s="19"/>
      <c r="N12" s="19"/>
      <c r="O12" s="19"/>
      <c r="P12" s="19"/>
    </row>
    <row r="13" spans="1:16" x14ac:dyDescent="0.2">
      <c r="A13" s="376" t="s">
        <v>96</v>
      </c>
      <c r="B13" s="376"/>
      <c r="C13" s="377" t="s">
        <v>165</v>
      </c>
      <c r="D13" s="377"/>
      <c r="E13" s="377"/>
      <c r="F13" s="377"/>
      <c r="G13" s="377"/>
      <c r="H13" s="377"/>
      <c r="I13" s="377"/>
      <c r="J13" s="377"/>
      <c r="K13" s="377"/>
      <c r="L13" s="377"/>
      <c r="M13" s="377"/>
      <c r="N13" s="377"/>
      <c r="O13" s="378" t="s">
        <v>85</v>
      </c>
      <c r="P13" s="5">
        <v>15</v>
      </c>
    </row>
    <row r="14" spans="1:16" x14ac:dyDescent="0.2">
      <c r="A14" s="395" t="s">
        <v>160</v>
      </c>
      <c r="B14" s="396"/>
      <c r="C14" s="377"/>
      <c r="D14" s="377"/>
      <c r="E14" s="377"/>
      <c r="F14" s="377"/>
      <c r="G14" s="377"/>
      <c r="H14" s="377"/>
      <c r="I14" s="377"/>
      <c r="J14" s="377"/>
      <c r="K14" s="377"/>
      <c r="L14" s="377"/>
      <c r="M14" s="377"/>
      <c r="N14" s="377"/>
      <c r="O14" s="378"/>
      <c r="P14" s="7" t="s">
        <v>92</v>
      </c>
    </row>
    <row r="15" spans="1:16" x14ac:dyDescent="0.2">
      <c r="A15" s="373" t="s">
        <v>98</v>
      </c>
      <c r="B15" s="374" t="s">
        <v>99</v>
      </c>
      <c r="C15" s="374"/>
      <c r="D15" s="374"/>
      <c r="E15" s="374"/>
      <c r="F15" s="374"/>
      <c r="G15" s="374" t="s">
        <v>100</v>
      </c>
      <c r="H15" s="374"/>
      <c r="I15" s="374"/>
      <c r="J15" s="374"/>
      <c r="K15" s="374"/>
      <c r="L15" s="374" t="s">
        <v>101</v>
      </c>
      <c r="M15" s="374"/>
      <c r="N15" s="374"/>
      <c r="O15" s="374"/>
      <c r="P15" s="374"/>
    </row>
    <row r="16" spans="1:16" x14ac:dyDescent="0.2">
      <c r="A16" s="373"/>
      <c r="B16" s="9" t="s">
        <v>102</v>
      </c>
      <c r="C16" s="9" t="s">
        <v>2</v>
      </c>
      <c r="D16" s="9" t="s">
        <v>103</v>
      </c>
      <c r="E16" s="9" t="s">
        <v>104</v>
      </c>
      <c r="F16" s="9" t="s">
        <v>86</v>
      </c>
      <c r="G16" s="9" t="s">
        <v>102</v>
      </c>
      <c r="H16" s="9" t="s">
        <v>2</v>
      </c>
      <c r="I16" s="9" t="s">
        <v>103</v>
      </c>
      <c r="J16" s="9" t="s">
        <v>104</v>
      </c>
      <c r="K16" s="9" t="s">
        <v>86</v>
      </c>
      <c r="L16" s="9" t="s">
        <v>102</v>
      </c>
      <c r="M16" s="9" t="s">
        <v>2</v>
      </c>
      <c r="N16" s="9" t="s">
        <v>103</v>
      </c>
      <c r="O16" s="9" t="s">
        <v>104</v>
      </c>
      <c r="P16" s="9" t="s">
        <v>86</v>
      </c>
    </row>
    <row r="17" spans="1:16" s="31" customFormat="1" ht="27" x14ac:dyDescent="0.25">
      <c r="A17" s="373" t="s">
        <v>172</v>
      </c>
      <c r="B17" s="26" t="s">
        <v>87</v>
      </c>
      <c r="C17" s="26" t="s">
        <v>90</v>
      </c>
      <c r="D17" s="24">
        <v>3</v>
      </c>
      <c r="E17" s="24">
        <f>E6</f>
        <v>1000</v>
      </c>
      <c r="F17" s="10">
        <f>TRUNC(D17*E17,2)</f>
        <v>3000</v>
      </c>
      <c r="G17" s="22" t="s">
        <v>121</v>
      </c>
      <c r="H17" s="8" t="s">
        <v>124</v>
      </c>
      <c r="I17" s="10">
        <v>4.13</v>
      </c>
      <c r="J17" s="36">
        <f>basic_rates!H12</f>
        <v>19675.54</v>
      </c>
      <c r="K17" s="10">
        <f>I17*J17</f>
        <v>81259.980200000005</v>
      </c>
      <c r="L17" s="29" t="s">
        <v>164</v>
      </c>
      <c r="M17" s="8"/>
      <c r="N17" s="8"/>
      <c r="O17" s="11"/>
      <c r="P17" s="11">
        <f>F23*50%</f>
        <v>11100</v>
      </c>
    </row>
    <row r="18" spans="1:16" s="31" customFormat="1" x14ac:dyDescent="0.25">
      <c r="A18" s="373"/>
      <c r="B18" s="26" t="s">
        <v>88</v>
      </c>
      <c r="C18" s="26" t="s">
        <v>90</v>
      </c>
      <c r="D18" s="24">
        <v>30</v>
      </c>
      <c r="E18" s="24">
        <f>E7</f>
        <v>640</v>
      </c>
      <c r="F18" s="10">
        <f>TRUNC(D18*E18,2)</f>
        <v>19200</v>
      </c>
      <c r="G18" s="8" t="s">
        <v>166</v>
      </c>
      <c r="H18" s="8" t="s">
        <v>92</v>
      </c>
      <c r="I18" s="10">
        <v>6.75</v>
      </c>
      <c r="J18" s="36">
        <f>basic_rates!H27</f>
        <v>2122.9899999999998</v>
      </c>
      <c r="K18" s="10">
        <f t="shared" ref="K18:K22" si="1">I18*J18</f>
        <v>14330.182499999999</v>
      </c>
      <c r="L18" s="9"/>
      <c r="M18" s="9"/>
      <c r="N18" s="9"/>
      <c r="O18" s="27"/>
      <c r="P18" s="11">
        <f>N18*O18</f>
        <v>0</v>
      </c>
    </row>
    <row r="19" spans="1:16" s="31" customFormat="1" x14ac:dyDescent="0.25">
      <c r="A19" s="21"/>
      <c r="B19" s="26"/>
      <c r="C19" s="26"/>
      <c r="D19" s="24"/>
      <c r="E19" s="24"/>
      <c r="F19" s="10"/>
      <c r="G19" s="8" t="s">
        <v>167</v>
      </c>
      <c r="H19" s="8" t="s">
        <v>92</v>
      </c>
      <c r="I19" s="10">
        <v>8.1</v>
      </c>
      <c r="J19" s="36">
        <f>basic_rates!H28</f>
        <v>1641.39</v>
      </c>
      <c r="K19" s="10">
        <f t="shared" si="1"/>
        <v>13295.259</v>
      </c>
      <c r="L19" s="9"/>
      <c r="M19" s="9"/>
      <c r="N19" s="9"/>
      <c r="O19" s="27"/>
      <c r="P19" s="11"/>
    </row>
    <row r="20" spans="1:16" s="31" customFormat="1" x14ac:dyDescent="0.25">
      <c r="A20" s="21"/>
      <c r="B20" s="26"/>
      <c r="C20" s="26"/>
      <c r="D20" s="24"/>
      <c r="E20" s="24"/>
      <c r="F20" s="10"/>
      <c r="G20" s="8" t="s">
        <v>168</v>
      </c>
      <c r="H20" s="8" t="s">
        <v>92</v>
      </c>
      <c r="I20" s="10">
        <v>4.05</v>
      </c>
      <c r="J20" s="36">
        <f>J19</f>
        <v>1641.39</v>
      </c>
      <c r="K20" s="10">
        <f t="shared" si="1"/>
        <v>6647.6295</v>
      </c>
      <c r="L20" s="9"/>
      <c r="M20" s="9"/>
      <c r="N20" s="9"/>
      <c r="O20" s="27"/>
      <c r="P20" s="11"/>
    </row>
    <row r="21" spans="1:16" s="31" customFormat="1" x14ac:dyDescent="0.25">
      <c r="A21" s="21"/>
      <c r="B21" s="26"/>
      <c r="C21" s="26"/>
      <c r="D21" s="24"/>
      <c r="E21" s="24"/>
      <c r="F21" s="10"/>
      <c r="G21" s="8" t="s">
        <v>169</v>
      </c>
      <c r="H21" s="8" t="s">
        <v>92</v>
      </c>
      <c r="I21" s="10">
        <v>1.35</v>
      </c>
      <c r="J21" s="36">
        <f>J20</f>
        <v>1641.39</v>
      </c>
      <c r="K21" s="10">
        <f t="shared" si="1"/>
        <v>2215.8765000000003</v>
      </c>
      <c r="L21" s="9"/>
      <c r="M21" s="9"/>
      <c r="N21" s="9"/>
      <c r="O21" s="27"/>
      <c r="P21" s="11"/>
    </row>
    <row r="22" spans="1:16" s="31" customFormat="1" x14ac:dyDescent="0.25">
      <c r="A22" s="21"/>
      <c r="B22" s="26"/>
      <c r="C22" s="26"/>
      <c r="D22" s="24"/>
      <c r="E22" s="24"/>
      <c r="F22" s="10"/>
      <c r="G22" s="8" t="s">
        <v>125</v>
      </c>
      <c r="H22" s="8" t="s">
        <v>126</v>
      </c>
      <c r="I22" s="10">
        <v>2</v>
      </c>
      <c r="J22" s="10">
        <v>0</v>
      </c>
      <c r="K22" s="10">
        <f t="shared" si="1"/>
        <v>0</v>
      </c>
      <c r="L22" s="9"/>
      <c r="M22" s="9"/>
      <c r="N22" s="9"/>
      <c r="O22" s="9"/>
      <c r="P22" s="11"/>
    </row>
    <row r="23" spans="1:16" s="32" customFormat="1" x14ac:dyDescent="0.25">
      <c r="A23" s="397" t="s">
        <v>105</v>
      </c>
      <c r="B23" s="397"/>
      <c r="C23" s="397"/>
      <c r="D23" s="397"/>
      <c r="E23" s="397"/>
      <c r="F23" s="12">
        <f>SUM(F17:F18)</f>
        <v>22200</v>
      </c>
      <c r="G23" s="397" t="s">
        <v>107</v>
      </c>
      <c r="H23" s="397"/>
      <c r="I23" s="397"/>
      <c r="J23" s="397"/>
      <c r="K23" s="10">
        <f>SUM(K17:K22)</f>
        <v>117748.9277</v>
      </c>
      <c r="L23" s="397" t="s">
        <v>109</v>
      </c>
      <c r="M23" s="397"/>
      <c r="N23" s="397"/>
      <c r="O23" s="397"/>
      <c r="P23" s="12">
        <f>SUM(P17:P18)</f>
        <v>11100</v>
      </c>
    </row>
    <row r="24" spans="1:16" s="33" customFormat="1" x14ac:dyDescent="0.25">
      <c r="A24" s="381" t="s">
        <v>106</v>
      </c>
      <c r="B24" s="381"/>
      <c r="C24" s="381"/>
      <c r="D24" s="381"/>
      <c r="E24" s="381"/>
      <c r="F24" s="10">
        <f>SUM(F23,K23,P23)</f>
        <v>151048.9277</v>
      </c>
      <c r="G24" s="381" t="s">
        <v>108</v>
      </c>
      <c r="H24" s="381"/>
      <c r="I24" s="381"/>
      <c r="J24" s="381"/>
      <c r="K24" s="381"/>
      <c r="L24" s="10">
        <f>F24*0.15</f>
        <v>22657.339154999998</v>
      </c>
      <c r="M24" s="382" t="s">
        <v>110</v>
      </c>
      <c r="N24" s="382"/>
      <c r="O24" s="382"/>
      <c r="P24" s="20">
        <f>TRUNC(SUM(F24,L24)/P13,2)</f>
        <v>11580.41</v>
      </c>
    </row>
    <row r="26" spans="1:16" x14ac:dyDescent="0.2">
      <c r="A26" s="376" t="s">
        <v>96</v>
      </c>
      <c r="B26" s="376"/>
      <c r="C26" s="377" t="s">
        <v>170</v>
      </c>
      <c r="D26" s="377"/>
      <c r="E26" s="377"/>
      <c r="F26" s="377"/>
      <c r="G26" s="377"/>
      <c r="H26" s="377"/>
      <c r="I26" s="377"/>
      <c r="J26" s="377"/>
      <c r="K26" s="377"/>
      <c r="L26" s="377"/>
      <c r="M26" s="377"/>
      <c r="N26" s="377"/>
      <c r="O26" s="378" t="s">
        <v>85</v>
      </c>
      <c r="P26" s="5">
        <v>15</v>
      </c>
    </row>
    <row r="27" spans="1:16" x14ac:dyDescent="0.2">
      <c r="A27" s="395" t="s">
        <v>160</v>
      </c>
      <c r="B27" s="396"/>
      <c r="C27" s="377"/>
      <c r="D27" s="377"/>
      <c r="E27" s="377"/>
      <c r="F27" s="377"/>
      <c r="G27" s="377"/>
      <c r="H27" s="377"/>
      <c r="I27" s="377"/>
      <c r="J27" s="377"/>
      <c r="K27" s="377"/>
      <c r="L27" s="377"/>
      <c r="M27" s="377"/>
      <c r="N27" s="377"/>
      <c r="O27" s="378"/>
      <c r="P27" s="7" t="s">
        <v>92</v>
      </c>
    </row>
    <row r="28" spans="1:16" x14ac:dyDescent="0.2">
      <c r="A28" s="373" t="s">
        <v>98</v>
      </c>
      <c r="B28" s="374" t="s">
        <v>99</v>
      </c>
      <c r="C28" s="374"/>
      <c r="D28" s="374"/>
      <c r="E28" s="374"/>
      <c r="F28" s="374"/>
      <c r="G28" s="374" t="s">
        <v>100</v>
      </c>
      <c r="H28" s="374"/>
      <c r="I28" s="374"/>
      <c r="J28" s="374"/>
      <c r="K28" s="374"/>
      <c r="L28" s="374" t="s">
        <v>101</v>
      </c>
      <c r="M28" s="374"/>
      <c r="N28" s="374"/>
      <c r="O28" s="374"/>
      <c r="P28" s="374"/>
    </row>
    <row r="29" spans="1:16" x14ac:dyDescent="0.2">
      <c r="A29" s="373"/>
      <c r="B29" s="9" t="s">
        <v>102</v>
      </c>
      <c r="C29" s="9" t="s">
        <v>2</v>
      </c>
      <c r="D29" s="9" t="s">
        <v>103</v>
      </c>
      <c r="E29" s="9" t="s">
        <v>104</v>
      </c>
      <c r="F29" s="9" t="s">
        <v>86</v>
      </c>
      <c r="G29" s="9" t="s">
        <v>102</v>
      </c>
      <c r="H29" s="9" t="s">
        <v>2</v>
      </c>
      <c r="I29" s="9" t="s">
        <v>103</v>
      </c>
      <c r="J29" s="9" t="s">
        <v>104</v>
      </c>
      <c r="K29" s="9" t="s">
        <v>86</v>
      </c>
      <c r="L29" s="9" t="s">
        <v>102</v>
      </c>
      <c r="M29" s="9" t="s">
        <v>2</v>
      </c>
      <c r="N29" s="9" t="s">
        <v>103</v>
      </c>
      <c r="O29" s="9" t="s">
        <v>104</v>
      </c>
      <c r="P29" s="9" t="s">
        <v>86</v>
      </c>
    </row>
    <row r="30" spans="1:16" s="31" customFormat="1" x14ac:dyDescent="0.25">
      <c r="A30" s="373" t="s">
        <v>171</v>
      </c>
      <c r="B30" s="26" t="s">
        <v>87</v>
      </c>
      <c r="C30" s="26" t="s">
        <v>90</v>
      </c>
      <c r="D30" s="24">
        <v>3</v>
      </c>
      <c r="E30" s="24">
        <f>E17</f>
        <v>1000</v>
      </c>
      <c r="F30" s="10">
        <f>TRUNC(D30*E30,2)</f>
        <v>3000</v>
      </c>
      <c r="G30" s="22" t="s">
        <v>121</v>
      </c>
      <c r="H30" s="8" t="s">
        <v>124</v>
      </c>
      <c r="I30" s="10">
        <v>5.16</v>
      </c>
      <c r="J30" s="10">
        <f>J17</f>
        <v>19675.54</v>
      </c>
      <c r="K30" s="10">
        <f>I30*J30</f>
        <v>101525.78640000001</v>
      </c>
      <c r="L30" s="29" t="s">
        <v>173</v>
      </c>
      <c r="M30" s="8" t="s">
        <v>174</v>
      </c>
      <c r="N30" s="8">
        <v>6</v>
      </c>
      <c r="O30" s="194">
        <f>basic_rates!H62</f>
        <v>370.98145494052</v>
      </c>
      <c r="P30" s="11">
        <f>N30*O30</f>
        <v>2225.8887296431199</v>
      </c>
    </row>
    <row r="31" spans="1:16" s="31" customFormat="1" x14ac:dyDescent="0.25">
      <c r="A31" s="373"/>
      <c r="B31" s="26" t="s">
        <v>88</v>
      </c>
      <c r="C31" s="26" t="s">
        <v>90</v>
      </c>
      <c r="D31" s="24">
        <v>30</v>
      </c>
      <c r="E31" s="24">
        <f>E18</f>
        <v>640</v>
      </c>
      <c r="F31" s="10">
        <f>TRUNC(D31*E31,2)</f>
        <v>19200</v>
      </c>
      <c r="G31" s="8" t="s">
        <v>166</v>
      </c>
      <c r="H31" s="8" t="s">
        <v>92</v>
      </c>
      <c r="I31" s="10">
        <v>6.75</v>
      </c>
      <c r="J31" s="10">
        <f>J18</f>
        <v>2122.9899999999998</v>
      </c>
      <c r="K31" s="10">
        <f t="shared" ref="K31:K35" si="2">I31*J31</f>
        <v>14330.182499999999</v>
      </c>
      <c r="L31" s="29" t="s">
        <v>75</v>
      </c>
      <c r="M31" s="8" t="s">
        <v>174</v>
      </c>
      <c r="N31" s="8">
        <v>6</v>
      </c>
      <c r="O31" s="195">
        <f>basic_rates!H55</f>
        <v>2511.9405020179202</v>
      </c>
      <c r="P31" s="11">
        <f>N31*O31</f>
        <v>15071.643012107521</v>
      </c>
    </row>
    <row r="32" spans="1:16" s="31" customFormat="1" x14ac:dyDescent="0.25">
      <c r="A32" s="21"/>
      <c r="B32" s="26"/>
      <c r="C32" s="26"/>
      <c r="D32" s="24"/>
      <c r="E32" s="24"/>
      <c r="F32" s="10"/>
      <c r="G32" s="8" t="s">
        <v>167</v>
      </c>
      <c r="H32" s="8" t="s">
        <v>92</v>
      </c>
      <c r="I32" s="10">
        <v>5.4</v>
      </c>
      <c r="J32" s="10">
        <f>J19</f>
        <v>1641.39</v>
      </c>
      <c r="K32" s="10">
        <f t="shared" si="2"/>
        <v>8863.5060000000012</v>
      </c>
      <c r="L32" s="9"/>
      <c r="M32" s="9"/>
      <c r="N32" s="9"/>
      <c r="O32" s="27"/>
      <c r="P32" s="11"/>
    </row>
    <row r="33" spans="1:16" s="31" customFormat="1" x14ac:dyDescent="0.25">
      <c r="A33" s="21"/>
      <c r="B33" s="26"/>
      <c r="C33" s="26"/>
      <c r="D33" s="24"/>
      <c r="E33" s="24"/>
      <c r="F33" s="10"/>
      <c r="G33" s="8" t="s">
        <v>168</v>
      </c>
      <c r="H33" s="8" t="s">
        <v>92</v>
      </c>
      <c r="I33" s="10">
        <v>5.4</v>
      </c>
      <c r="J33" s="10">
        <f>J32</f>
        <v>1641.39</v>
      </c>
      <c r="K33" s="10">
        <f t="shared" si="2"/>
        <v>8863.5060000000012</v>
      </c>
      <c r="L33" s="9"/>
      <c r="M33" s="9"/>
      <c r="N33" s="9"/>
      <c r="O33" s="27"/>
      <c r="P33" s="11"/>
    </row>
    <row r="34" spans="1:16" s="31" customFormat="1" x14ac:dyDescent="0.25">
      <c r="A34" s="21"/>
      <c r="B34" s="26"/>
      <c r="C34" s="26"/>
      <c r="D34" s="24"/>
      <c r="E34" s="24"/>
      <c r="F34" s="10"/>
      <c r="G34" s="8" t="s">
        <v>169</v>
      </c>
      <c r="H34" s="8" t="s">
        <v>92</v>
      </c>
      <c r="I34" s="10">
        <v>2.7</v>
      </c>
      <c r="J34" s="10">
        <f>J33</f>
        <v>1641.39</v>
      </c>
      <c r="K34" s="10">
        <f t="shared" si="2"/>
        <v>4431.7530000000006</v>
      </c>
      <c r="L34" s="9"/>
      <c r="M34" s="9"/>
      <c r="N34" s="9"/>
      <c r="O34" s="27"/>
      <c r="P34" s="11"/>
    </row>
    <row r="35" spans="1:16" s="31" customFormat="1" x14ac:dyDescent="0.25">
      <c r="A35" s="21"/>
      <c r="B35" s="26"/>
      <c r="C35" s="26"/>
      <c r="D35" s="24"/>
      <c r="E35" s="24"/>
      <c r="F35" s="10"/>
      <c r="G35" s="8" t="s">
        <v>125</v>
      </c>
      <c r="H35" s="8" t="s">
        <v>126</v>
      </c>
      <c r="I35" s="10">
        <v>2.5</v>
      </c>
      <c r="J35" s="10">
        <v>0</v>
      </c>
      <c r="K35" s="10">
        <f t="shared" si="2"/>
        <v>0</v>
      </c>
      <c r="L35" s="9"/>
      <c r="M35" s="9"/>
      <c r="N35" s="9"/>
      <c r="O35" s="9"/>
      <c r="P35" s="11"/>
    </row>
    <row r="36" spans="1:16" s="32" customFormat="1" x14ac:dyDescent="0.25">
      <c r="A36" s="397" t="s">
        <v>105</v>
      </c>
      <c r="B36" s="397"/>
      <c r="C36" s="397"/>
      <c r="D36" s="397"/>
      <c r="E36" s="397"/>
      <c r="F36" s="12">
        <f>SUM(F30:F31)</f>
        <v>22200</v>
      </c>
      <c r="G36" s="397" t="s">
        <v>107</v>
      </c>
      <c r="H36" s="397"/>
      <c r="I36" s="397"/>
      <c r="J36" s="397"/>
      <c r="K36" s="10">
        <f>SUM(K30:K35)</f>
        <v>138014.73389999999</v>
      </c>
      <c r="L36" s="397" t="s">
        <v>109</v>
      </c>
      <c r="M36" s="397"/>
      <c r="N36" s="397"/>
      <c r="O36" s="397"/>
      <c r="P36" s="12">
        <f>SUM(P30:P31)</f>
        <v>17297.531741750641</v>
      </c>
    </row>
    <row r="37" spans="1:16" s="33" customFormat="1" x14ac:dyDescent="0.25">
      <c r="A37" s="381" t="s">
        <v>106</v>
      </c>
      <c r="B37" s="381"/>
      <c r="C37" s="381"/>
      <c r="D37" s="381"/>
      <c r="E37" s="381"/>
      <c r="F37" s="10">
        <f>SUM(F36,K36,P36)</f>
        <v>177512.26564175062</v>
      </c>
      <c r="G37" s="381" t="s">
        <v>108</v>
      </c>
      <c r="H37" s="381"/>
      <c r="I37" s="381"/>
      <c r="J37" s="381"/>
      <c r="K37" s="381"/>
      <c r="L37" s="10">
        <f>F37*0.15</f>
        <v>26626.839846262592</v>
      </c>
      <c r="M37" s="382" t="s">
        <v>110</v>
      </c>
      <c r="N37" s="382"/>
      <c r="O37" s="382"/>
      <c r="P37" s="20">
        <f>TRUNC(SUM(F37,L37)/P26,2)</f>
        <v>13609.27</v>
      </c>
    </row>
    <row r="39" spans="1:16" x14ac:dyDescent="0.2">
      <c r="A39" s="376" t="s">
        <v>96</v>
      </c>
      <c r="B39" s="376"/>
      <c r="C39" s="377" t="s">
        <v>176</v>
      </c>
      <c r="D39" s="377"/>
      <c r="E39" s="377"/>
      <c r="F39" s="377"/>
      <c r="G39" s="377"/>
      <c r="H39" s="377"/>
      <c r="I39" s="377"/>
      <c r="J39" s="377"/>
      <c r="K39" s="377"/>
      <c r="L39" s="377"/>
      <c r="M39" s="377"/>
      <c r="N39" s="377"/>
      <c r="O39" s="378" t="s">
        <v>85</v>
      </c>
      <c r="P39" s="5">
        <v>1</v>
      </c>
    </row>
    <row r="40" spans="1:16" x14ac:dyDescent="0.2">
      <c r="A40" s="395" t="s">
        <v>175</v>
      </c>
      <c r="B40" s="396"/>
      <c r="C40" s="377"/>
      <c r="D40" s="377"/>
      <c r="E40" s="377"/>
      <c r="F40" s="377"/>
      <c r="G40" s="377"/>
      <c r="H40" s="377"/>
      <c r="I40" s="377"/>
      <c r="J40" s="377"/>
      <c r="K40" s="377"/>
      <c r="L40" s="377"/>
      <c r="M40" s="377"/>
      <c r="N40" s="377"/>
      <c r="O40" s="378"/>
      <c r="P40" s="7" t="s">
        <v>83</v>
      </c>
    </row>
    <row r="41" spans="1:16" x14ac:dyDescent="0.2">
      <c r="A41" s="373" t="s">
        <v>98</v>
      </c>
      <c r="B41" s="374" t="s">
        <v>99</v>
      </c>
      <c r="C41" s="374"/>
      <c r="D41" s="374"/>
      <c r="E41" s="374"/>
      <c r="F41" s="374"/>
      <c r="G41" s="374" t="s">
        <v>100</v>
      </c>
      <c r="H41" s="374"/>
      <c r="I41" s="374"/>
      <c r="J41" s="374"/>
      <c r="K41" s="374"/>
      <c r="L41" s="374" t="s">
        <v>101</v>
      </c>
      <c r="M41" s="374"/>
      <c r="N41" s="374"/>
      <c r="O41" s="374"/>
      <c r="P41" s="374"/>
    </row>
    <row r="42" spans="1:16" x14ac:dyDescent="0.2">
      <c r="A42" s="373"/>
      <c r="B42" s="9" t="s">
        <v>102</v>
      </c>
      <c r="C42" s="9" t="s">
        <v>2</v>
      </c>
      <c r="D42" s="9" t="s">
        <v>103</v>
      </c>
      <c r="E42" s="9" t="s">
        <v>104</v>
      </c>
      <c r="F42" s="9" t="s">
        <v>86</v>
      </c>
      <c r="G42" s="9" t="s">
        <v>102</v>
      </c>
      <c r="H42" s="9" t="s">
        <v>2</v>
      </c>
      <c r="I42" s="9" t="s">
        <v>103</v>
      </c>
      <c r="J42" s="9" t="s">
        <v>104</v>
      </c>
      <c r="K42" s="9" t="s">
        <v>86</v>
      </c>
      <c r="L42" s="9" t="s">
        <v>102</v>
      </c>
      <c r="M42" s="9" t="s">
        <v>2</v>
      </c>
      <c r="N42" s="9" t="s">
        <v>103</v>
      </c>
      <c r="O42" s="9" t="s">
        <v>104</v>
      </c>
      <c r="P42" s="9" t="s">
        <v>86</v>
      </c>
    </row>
    <row r="43" spans="1:16" s="31" customFormat="1" x14ac:dyDescent="0.25">
      <c r="A43" s="373">
        <v>20.3</v>
      </c>
      <c r="B43" s="26" t="s">
        <v>87</v>
      </c>
      <c r="C43" s="26" t="s">
        <v>90</v>
      </c>
      <c r="D43" s="24">
        <v>4</v>
      </c>
      <c r="E43" s="24">
        <f>E30</f>
        <v>1000</v>
      </c>
      <c r="F43" s="10">
        <f>TRUNC(D43*E43,2)</f>
        <v>4000</v>
      </c>
      <c r="G43" s="22" t="s">
        <v>177</v>
      </c>
      <c r="H43" s="8" t="s">
        <v>124</v>
      </c>
      <c r="I43" s="10">
        <v>1.1000000000000001</v>
      </c>
      <c r="J43" s="196">
        <f>basic_rates!H15</f>
        <v>81175.539999999994</v>
      </c>
      <c r="K43" s="196">
        <f>I43*J43</f>
        <v>89293.093999999997</v>
      </c>
      <c r="L43" s="197"/>
      <c r="M43" s="198"/>
      <c r="N43" s="198"/>
      <c r="O43" s="194"/>
      <c r="P43" s="11"/>
    </row>
    <row r="44" spans="1:16" s="31" customFormat="1" x14ac:dyDescent="0.25">
      <c r="A44" s="373"/>
      <c r="B44" s="26" t="s">
        <v>88</v>
      </c>
      <c r="C44" s="26" t="s">
        <v>90</v>
      </c>
      <c r="D44" s="24">
        <v>9</v>
      </c>
      <c r="E44" s="24">
        <f>E31</f>
        <v>640</v>
      </c>
      <c r="F44" s="10">
        <f>TRUNC(D44*E44,2)</f>
        <v>5760</v>
      </c>
      <c r="G44" s="8" t="s">
        <v>178</v>
      </c>
      <c r="H44" s="8" t="s">
        <v>179</v>
      </c>
      <c r="I44" s="10">
        <v>8</v>
      </c>
      <c r="J44" s="199">
        <f>basic_rates!H17</f>
        <v>88.8</v>
      </c>
      <c r="K44" s="196">
        <f t="shared" ref="K44" si="3">I44*J44</f>
        <v>710.4</v>
      </c>
      <c r="L44" s="197"/>
      <c r="M44" s="198"/>
      <c r="N44" s="198"/>
      <c r="O44" s="195"/>
      <c r="P44" s="11"/>
    </row>
    <row r="45" spans="1:16" s="32" customFormat="1" x14ac:dyDescent="0.25">
      <c r="A45" s="397" t="s">
        <v>105</v>
      </c>
      <c r="B45" s="397"/>
      <c r="C45" s="397"/>
      <c r="D45" s="397"/>
      <c r="E45" s="397"/>
      <c r="F45" s="12">
        <f>SUM(F43:F44)</f>
        <v>9760</v>
      </c>
      <c r="G45" s="397" t="s">
        <v>107</v>
      </c>
      <c r="H45" s="397"/>
      <c r="I45" s="397"/>
      <c r="J45" s="397"/>
      <c r="K45" s="10">
        <f>SUM(K43:K44)</f>
        <v>90003.493999999992</v>
      </c>
      <c r="L45" s="397" t="s">
        <v>109</v>
      </c>
      <c r="M45" s="397"/>
      <c r="N45" s="397"/>
      <c r="O45" s="397"/>
      <c r="P45" s="12">
        <f>SUM(P43:P44)</f>
        <v>0</v>
      </c>
    </row>
    <row r="46" spans="1:16" s="33" customFormat="1" x14ac:dyDescent="0.25">
      <c r="A46" s="381" t="s">
        <v>106</v>
      </c>
      <c r="B46" s="381"/>
      <c r="C46" s="381"/>
      <c r="D46" s="381"/>
      <c r="E46" s="381"/>
      <c r="F46" s="10">
        <f>SUM(F45,K45,P45)</f>
        <v>99763.493999999992</v>
      </c>
      <c r="G46" s="381" t="s">
        <v>108</v>
      </c>
      <c r="H46" s="381"/>
      <c r="I46" s="381"/>
      <c r="J46" s="381"/>
      <c r="K46" s="381"/>
      <c r="L46" s="10">
        <f>F46*0.15</f>
        <v>14964.524099999999</v>
      </c>
      <c r="M46" s="382" t="s">
        <v>110</v>
      </c>
      <c r="N46" s="382"/>
      <c r="O46" s="382"/>
      <c r="P46" s="20">
        <f>TRUNC(SUM(F46,L46)/P39,2)</f>
        <v>114728.01</v>
      </c>
    </row>
  </sheetData>
  <mergeCells count="61">
    <mergeCell ref="A46:E46"/>
    <mergeCell ref="G46:K46"/>
    <mergeCell ref="M46:O46"/>
    <mergeCell ref="L36:O36"/>
    <mergeCell ref="A37:E37"/>
    <mergeCell ref="M37:O37"/>
    <mergeCell ref="A39:B39"/>
    <mergeCell ref="C39:N40"/>
    <mergeCell ref="O39:O40"/>
    <mergeCell ref="A40:B40"/>
    <mergeCell ref="L41:P41"/>
    <mergeCell ref="A43:A44"/>
    <mergeCell ref="A45:E45"/>
    <mergeCell ref="G45:J45"/>
    <mergeCell ref="L45:O45"/>
    <mergeCell ref="O26:O27"/>
    <mergeCell ref="A27:B27"/>
    <mergeCell ref="B28:F28"/>
    <mergeCell ref="G28:K28"/>
    <mergeCell ref="L28:P28"/>
    <mergeCell ref="A28:A29"/>
    <mergeCell ref="A26:B26"/>
    <mergeCell ref="C26:N27"/>
    <mergeCell ref="A30:A31"/>
    <mergeCell ref="A41:A42"/>
    <mergeCell ref="B41:F41"/>
    <mergeCell ref="G41:K41"/>
    <mergeCell ref="G37:K37"/>
    <mergeCell ref="A36:E36"/>
    <mergeCell ref="G36:J36"/>
    <mergeCell ref="A17:A18"/>
    <mergeCell ref="A23:E23"/>
    <mergeCell ref="G23:J23"/>
    <mergeCell ref="L23:O23"/>
    <mergeCell ref="A24:E24"/>
    <mergeCell ref="G24:K24"/>
    <mergeCell ref="M24:O24"/>
    <mergeCell ref="A13:B13"/>
    <mergeCell ref="C13:N14"/>
    <mergeCell ref="O13:O14"/>
    <mergeCell ref="A14:B14"/>
    <mergeCell ref="A15:A16"/>
    <mergeCell ref="B15:F15"/>
    <mergeCell ref="G15:K15"/>
    <mergeCell ref="L15:P15"/>
    <mergeCell ref="A6:A7"/>
    <mergeCell ref="A10:E10"/>
    <mergeCell ref="G10:J10"/>
    <mergeCell ref="L10:O10"/>
    <mergeCell ref="A11:E11"/>
    <mergeCell ref="G11:K11"/>
    <mergeCell ref="M11:O11"/>
    <mergeCell ref="A4:A5"/>
    <mergeCell ref="B4:F4"/>
    <mergeCell ref="G4:K4"/>
    <mergeCell ref="L4:P4"/>
    <mergeCell ref="A1:P1"/>
    <mergeCell ref="A2:B2"/>
    <mergeCell ref="C2:N3"/>
    <mergeCell ref="O2:O3"/>
    <mergeCell ref="A3:B3"/>
  </mergeCells>
  <printOptions horizontalCentered="1"/>
  <pageMargins left="0.70866141732283472" right="0.70866141732283472" top="0.74803149606299213" bottom="0.74803149606299213" header="0.31496062992125984" footer="0.31496062992125984"/>
  <pageSetup scale="70" orientation="landscape" r:id="rId1"/>
  <headerFooter>
    <oddFooter>&amp;LPrepared By:&amp;CChecked By:&amp;RApproved By: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P40"/>
  <sheetViews>
    <sheetView view="pageBreakPreview" zoomScaleNormal="100" zoomScaleSheetLayoutView="100" workbookViewId="0">
      <selection activeCell="G46" sqref="G46"/>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11.42578125" style="1" bestFit="1" customWidth="1"/>
    <col min="7" max="7" width="14.140625" style="1" bestFit="1" customWidth="1"/>
    <col min="8" max="8" width="9.140625" style="1" customWidth="1"/>
    <col min="9" max="9" width="6.28515625" style="1" customWidth="1"/>
    <col min="10" max="10" width="9.28515625" style="1" bestFit="1" customWidth="1"/>
    <col min="11" max="11" width="10.140625" style="1" bestFit="1" customWidth="1"/>
    <col min="12" max="12" width="24.42578125" style="1" customWidth="1"/>
    <col min="13" max="13" width="8.7109375" style="1"/>
    <col min="14" max="15" width="8.7109375" style="1" bestFit="1" customWidth="1"/>
    <col min="16" max="16" width="9.28515625" style="1" bestFit="1" customWidth="1"/>
    <col min="17" max="16384" width="8.7109375" style="1"/>
  </cols>
  <sheetData>
    <row r="1" spans="1:16" x14ac:dyDescent="0.2">
      <c r="A1" s="375" t="s">
        <v>263</v>
      </c>
      <c r="B1" s="375"/>
      <c r="C1" s="375"/>
      <c r="D1" s="375"/>
      <c r="E1" s="375"/>
      <c r="F1" s="375"/>
      <c r="G1" s="375"/>
      <c r="H1" s="375"/>
      <c r="I1" s="375"/>
      <c r="J1" s="375"/>
      <c r="K1" s="375"/>
      <c r="L1" s="375"/>
      <c r="M1" s="375"/>
      <c r="N1" s="375"/>
      <c r="O1" s="375"/>
      <c r="P1" s="375"/>
    </row>
    <row r="2" spans="1:16" x14ac:dyDescent="0.2">
      <c r="A2" s="376" t="s">
        <v>96</v>
      </c>
      <c r="B2" s="376"/>
      <c r="C2" s="377" t="s">
        <v>273</v>
      </c>
      <c r="D2" s="377"/>
      <c r="E2" s="377"/>
      <c r="F2" s="377"/>
      <c r="G2" s="377"/>
      <c r="H2" s="377"/>
      <c r="I2" s="377"/>
      <c r="J2" s="377"/>
      <c r="K2" s="377"/>
      <c r="L2" s="377"/>
      <c r="M2" s="377"/>
      <c r="N2" s="377"/>
      <c r="O2" s="378" t="s">
        <v>85</v>
      </c>
      <c r="P2" s="5">
        <v>12.5</v>
      </c>
    </row>
    <row r="3" spans="1:16" x14ac:dyDescent="0.2">
      <c r="A3" s="395" t="s">
        <v>264</v>
      </c>
      <c r="B3" s="396"/>
      <c r="C3" s="377"/>
      <c r="D3" s="377"/>
      <c r="E3" s="377"/>
      <c r="F3" s="377"/>
      <c r="G3" s="377"/>
      <c r="H3" s="377"/>
      <c r="I3" s="377"/>
      <c r="J3" s="377"/>
      <c r="K3" s="377"/>
      <c r="L3" s="377"/>
      <c r="M3" s="377"/>
      <c r="N3" s="377"/>
      <c r="O3" s="378"/>
      <c r="P3" s="7" t="s">
        <v>82</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128" t="s">
        <v>102</v>
      </c>
      <c r="C5" s="128" t="s">
        <v>2</v>
      </c>
      <c r="D5" s="128" t="s">
        <v>103</v>
      </c>
      <c r="E5" s="128" t="s">
        <v>104</v>
      </c>
      <c r="F5" s="128" t="s">
        <v>86</v>
      </c>
      <c r="G5" s="128" t="s">
        <v>102</v>
      </c>
      <c r="H5" s="128" t="s">
        <v>2</v>
      </c>
      <c r="I5" s="128" t="s">
        <v>103</v>
      </c>
      <c r="J5" s="128" t="s">
        <v>104</v>
      </c>
      <c r="K5" s="128" t="s">
        <v>86</v>
      </c>
      <c r="L5" s="128" t="s">
        <v>102</v>
      </c>
      <c r="M5" s="128" t="s">
        <v>2</v>
      </c>
      <c r="N5" s="128" t="s">
        <v>103</v>
      </c>
      <c r="O5" s="128" t="s">
        <v>104</v>
      </c>
      <c r="P5" s="128" t="s">
        <v>86</v>
      </c>
    </row>
    <row r="6" spans="1:16" s="31" customFormat="1" ht="40.5" x14ac:dyDescent="0.25">
      <c r="A6" s="373" t="s">
        <v>271</v>
      </c>
      <c r="B6" s="26" t="s">
        <v>87</v>
      </c>
      <c r="C6" s="26" t="s">
        <v>90</v>
      </c>
      <c r="D6" s="24">
        <v>1</v>
      </c>
      <c r="E6" s="24">
        <f>skilled</f>
        <v>1000</v>
      </c>
      <c r="F6" s="10">
        <f>TRUNC(D6*E6,2)</f>
        <v>1000</v>
      </c>
      <c r="G6" s="22" t="s">
        <v>31</v>
      </c>
      <c r="H6" s="8" t="s">
        <v>92</v>
      </c>
      <c r="I6" s="10">
        <v>0.08</v>
      </c>
      <c r="J6" s="27">
        <f>basic_rates!H27</f>
        <v>2122.9899999999998</v>
      </c>
      <c r="K6" s="10">
        <f>I6*J6</f>
        <v>169.83919999999998</v>
      </c>
      <c r="L6" s="29" t="s">
        <v>268</v>
      </c>
      <c r="M6" s="8"/>
      <c r="N6" s="8"/>
      <c r="O6" s="11"/>
      <c r="P6" s="11">
        <f>3%*F9</f>
        <v>126</v>
      </c>
    </row>
    <row r="7" spans="1:16" s="31" customFormat="1" x14ac:dyDescent="0.25">
      <c r="A7" s="373"/>
      <c r="B7" s="26" t="s">
        <v>88</v>
      </c>
      <c r="C7" s="26" t="s">
        <v>90</v>
      </c>
      <c r="D7" s="24">
        <v>5</v>
      </c>
      <c r="E7" s="24">
        <f>basic_rates!D50</f>
        <v>640</v>
      </c>
      <c r="F7" s="10">
        <f>TRUNC(D7*E7,2)</f>
        <v>3200</v>
      </c>
      <c r="G7" s="8" t="s">
        <v>11</v>
      </c>
      <c r="H7" s="8" t="s">
        <v>204</v>
      </c>
      <c r="I7" s="10">
        <v>0.06</v>
      </c>
      <c r="J7" s="27">
        <f>basic_rates!H12</f>
        <v>19675.54</v>
      </c>
      <c r="K7" s="10">
        <f t="shared" ref="K7:K8" si="0">I7*J7</f>
        <v>1180.5324000000001</v>
      </c>
      <c r="L7" s="128"/>
      <c r="M7" s="128"/>
      <c r="N7" s="128"/>
      <c r="O7" s="27"/>
      <c r="P7" s="11">
        <f>N7*O7</f>
        <v>0</v>
      </c>
    </row>
    <row r="8" spans="1:16" s="31" customFormat="1" x14ac:dyDescent="0.25">
      <c r="A8" s="127"/>
      <c r="B8" s="26"/>
      <c r="C8" s="26"/>
      <c r="D8" s="24"/>
      <c r="E8" s="24"/>
      <c r="F8" s="10"/>
      <c r="G8" s="8" t="s">
        <v>266</v>
      </c>
      <c r="H8" s="8" t="s">
        <v>205</v>
      </c>
      <c r="I8" s="10">
        <v>12.5</v>
      </c>
      <c r="J8" s="27">
        <f>basic_rates!H21</f>
        <v>7297.95</v>
      </c>
      <c r="K8" s="10">
        <f t="shared" si="0"/>
        <v>91224.375</v>
      </c>
      <c r="L8" s="128"/>
      <c r="M8" s="128"/>
      <c r="N8" s="128"/>
      <c r="O8" s="128"/>
      <c r="P8" s="11"/>
    </row>
    <row r="9" spans="1:16" s="32" customFormat="1" x14ac:dyDescent="0.25">
      <c r="A9" s="397" t="s">
        <v>105</v>
      </c>
      <c r="B9" s="397"/>
      <c r="C9" s="397"/>
      <c r="D9" s="397"/>
      <c r="E9" s="397"/>
      <c r="F9" s="12">
        <f>SUM(F6:F7)</f>
        <v>4200</v>
      </c>
      <c r="G9" s="397" t="s">
        <v>107</v>
      </c>
      <c r="H9" s="397"/>
      <c r="I9" s="397"/>
      <c r="J9" s="397"/>
      <c r="K9" s="10">
        <f>SUM(K6:K8)</f>
        <v>92574.746599999999</v>
      </c>
      <c r="L9" s="397" t="s">
        <v>109</v>
      </c>
      <c r="M9" s="397"/>
      <c r="N9" s="397"/>
      <c r="O9" s="397"/>
      <c r="P9" s="12">
        <f>SUM(P6:P7)</f>
        <v>126</v>
      </c>
    </row>
    <row r="10" spans="1:16" s="33" customFormat="1" x14ac:dyDescent="0.25">
      <c r="A10" s="381" t="s">
        <v>106</v>
      </c>
      <c r="B10" s="381"/>
      <c r="C10" s="381"/>
      <c r="D10" s="381"/>
      <c r="E10" s="381"/>
      <c r="F10" s="10">
        <f>SUM(F9,K9,P9)</f>
        <v>96900.746599999999</v>
      </c>
      <c r="G10" s="381" t="s">
        <v>108</v>
      </c>
      <c r="H10" s="381"/>
      <c r="I10" s="381"/>
      <c r="J10" s="381"/>
      <c r="K10" s="381"/>
      <c r="L10" s="10">
        <f>F10*0.15</f>
        <v>14535.111989999999</v>
      </c>
      <c r="M10" s="382" t="s">
        <v>110</v>
      </c>
      <c r="N10" s="382"/>
      <c r="O10" s="382"/>
      <c r="P10" s="20">
        <f>TRUNC(SUM(F10,L10)/P2,2)</f>
        <v>8914.86</v>
      </c>
    </row>
    <row r="11" spans="1:16" x14ac:dyDescent="0.2">
      <c r="A11" s="129"/>
      <c r="B11" s="129"/>
      <c r="C11" s="129"/>
      <c r="D11" s="129"/>
      <c r="E11" s="129"/>
      <c r="F11" s="129"/>
      <c r="G11" s="129"/>
      <c r="H11" s="129"/>
      <c r="I11" s="129"/>
      <c r="J11" s="129"/>
      <c r="K11" s="129"/>
      <c r="L11" s="129"/>
      <c r="M11" s="129"/>
      <c r="N11" s="129"/>
      <c r="O11" s="129"/>
      <c r="P11" s="129"/>
    </row>
    <row r="12" spans="1:16" x14ac:dyDescent="0.2">
      <c r="A12" s="376" t="s">
        <v>96</v>
      </c>
      <c r="B12" s="376"/>
      <c r="C12" s="377" t="s">
        <v>274</v>
      </c>
      <c r="D12" s="377"/>
      <c r="E12" s="377"/>
      <c r="F12" s="377"/>
      <c r="G12" s="377"/>
      <c r="H12" s="377"/>
      <c r="I12" s="377"/>
      <c r="J12" s="377"/>
      <c r="K12" s="377"/>
      <c r="L12" s="377"/>
      <c r="M12" s="377"/>
      <c r="N12" s="377"/>
      <c r="O12" s="378" t="s">
        <v>85</v>
      </c>
      <c r="P12" s="5">
        <v>12.5</v>
      </c>
    </row>
    <row r="13" spans="1:16" x14ac:dyDescent="0.2">
      <c r="A13" s="395" t="s">
        <v>264</v>
      </c>
      <c r="B13" s="396"/>
      <c r="C13" s="377"/>
      <c r="D13" s="377"/>
      <c r="E13" s="377"/>
      <c r="F13" s="377"/>
      <c r="G13" s="377"/>
      <c r="H13" s="377"/>
      <c r="I13" s="377"/>
      <c r="J13" s="377"/>
      <c r="K13" s="377"/>
      <c r="L13" s="377"/>
      <c r="M13" s="377"/>
      <c r="N13" s="377"/>
      <c r="O13" s="378"/>
      <c r="P13" s="7" t="s">
        <v>82</v>
      </c>
    </row>
    <row r="14" spans="1:16" x14ac:dyDescent="0.2">
      <c r="A14" s="373" t="s">
        <v>98</v>
      </c>
      <c r="B14" s="374" t="s">
        <v>99</v>
      </c>
      <c r="C14" s="374"/>
      <c r="D14" s="374"/>
      <c r="E14" s="374"/>
      <c r="F14" s="374"/>
      <c r="G14" s="374" t="s">
        <v>100</v>
      </c>
      <c r="H14" s="374"/>
      <c r="I14" s="374"/>
      <c r="J14" s="374"/>
      <c r="K14" s="374"/>
      <c r="L14" s="374" t="s">
        <v>101</v>
      </c>
      <c r="M14" s="374"/>
      <c r="N14" s="374"/>
      <c r="O14" s="374"/>
      <c r="P14" s="374"/>
    </row>
    <row r="15" spans="1:16" x14ac:dyDescent="0.2">
      <c r="A15" s="373"/>
      <c r="B15" s="128" t="s">
        <v>102</v>
      </c>
      <c r="C15" s="128" t="s">
        <v>2</v>
      </c>
      <c r="D15" s="128" t="s">
        <v>103</v>
      </c>
      <c r="E15" s="128" t="s">
        <v>104</v>
      </c>
      <c r="F15" s="128" t="s">
        <v>86</v>
      </c>
      <c r="G15" s="128" t="s">
        <v>102</v>
      </c>
      <c r="H15" s="128" t="s">
        <v>2</v>
      </c>
      <c r="I15" s="128" t="s">
        <v>103</v>
      </c>
      <c r="J15" s="128" t="s">
        <v>104</v>
      </c>
      <c r="K15" s="128" t="s">
        <v>86</v>
      </c>
      <c r="L15" s="128" t="s">
        <v>102</v>
      </c>
      <c r="M15" s="128" t="s">
        <v>2</v>
      </c>
      <c r="N15" s="128" t="s">
        <v>103</v>
      </c>
      <c r="O15" s="128" t="s">
        <v>104</v>
      </c>
      <c r="P15" s="128" t="s">
        <v>86</v>
      </c>
    </row>
    <row r="16" spans="1:16" s="31" customFormat="1" ht="40.5" x14ac:dyDescent="0.25">
      <c r="A16" s="373" t="s">
        <v>272</v>
      </c>
      <c r="B16" s="26" t="s">
        <v>87</v>
      </c>
      <c r="C16" s="26" t="s">
        <v>90</v>
      </c>
      <c r="D16" s="24">
        <v>1</v>
      </c>
      <c r="E16" s="24">
        <f>E6</f>
        <v>1000</v>
      </c>
      <c r="F16" s="10">
        <f>TRUNC(D16*E16,2)</f>
        <v>1000</v>
      </c>
      <c r="G16" s="22" t="s">
        <v>31</v>
      </c>
      <c r="H16" s="8" t="s">
        <v>92</v>
      </c>
      <c r="I16" s="10">
        <v>0.09</v>
      </c>
      <c r="J16" s="27">
        <f>J6</f>
        <v>2122.9899999999998</v>
      </c>
      <c r="K16" s="10">
        <f>I16*J16</f>
        <v>191.06909999999996</v>
      </c>
      <c r="L16" s="29" t="s">
        <v>268</v>
      </c>
      <c r="M16" s="8"/>
      <c r="N16" s="8"/>
      <c r="O16" s="11"/>
      <c r="P16" s="11">
        <f>3%*F19</f>
        <v>145.19999999999999</v>
      </c>
    </row>
    <row r="17" spans="1:16" s="31" customFormat="1" x14ac:dyDescent="0.25">
      <c r="A17" s="373"/>
      <c r="B17" s="26" t="s">
        <v>88</v>
      </c>
      <c r="C17" s="26" t="s">
        <v>90</v>
      </c>
      <c r="D17" s="24">
        <v>6</v>
      </c>
      <c r="E17" s="24">
        <f>E7</f>
        <v>640</v>
      </c>
      <c r="F17" s="10">
        <f>TRUNC(D17*E17,2)</f>
        <v>3840</v>
      </c>
      <c r="G17" s="8" t="s">
        <v>11</v>
      </c>
      <c r="H17" s="8" t="s">
        <v>204</v>
      </c>
      <c r="I17" s="10">
        <v>7.0000000000000007E-2</v>
      </c>
      <c r="J17" s="27">
        <f>J7</f>
        <v>19675.54</v>
      </c>
      <c r="K17" s="10">
        <f t="shared" ref="K17:K18" si="1">I17*J17</f>
        <v>1377.2878000000003</v>
      </c>
      <c r="L17" s="128"/>
      <c r="M17" s="128"/>
      <c r="N17" s="128"/>
      <c r="O17" s="27"/>
      <c r="P17" s="11">
        <f>N17*O17</f>
        <v>0</v>
      </c>
    </row>
    <row r="18" spans="1:16" s="31" customFormat="1" x14ac:dyDescent="0.25">
      <c r="A18" s="127"/>
      <c r="B18" s="26"/>
      <c r="C18" s="26"/>
      <c r="D18" s="24"/>
      <c r="E18" s="24"/>
      <c r="F18" s="10"/>
      <c r="G18" s="8" t="s">
        <v>266</v>
      </c>
      <c r="H18" s="8" t="s">
        <v>205</v>
      </c>
      <c r="I18" s="10">
        <v>12.5</v>
      </c>
      <c r="J18" s="27">
        <f>J8</f>
        <v>7297.95</v>
      </c>
      <c r="K18" s="10">
        <f t="shared" si="1"/>
        <v>91224.375</v>
      </c>
      <c r="L18" s="128"/>
      <c r="M18" s="128"/>
      <c r="N18" s="128"/>
      <c r="O18" s="128"/>
      <c r="P18" s="11"/>
    </row>
    <row r="19" spans="1:16" s="32" customFormat="1" x14ac:dyDescent="0.25">
      <c r="A19" s="397" t="s">
        <v>105</v>
      </c>
      <c r="B19" s="397"/>
      <c r="C19" s="397"/>
      <c r="D19" s="397"/>
      <c r="E19" s="397"/>
      <c r="F19" s="12">
        <f>SUM(F16:F17)</f>
        <v>4840</v>
      </c>
      <c r="G19" s="397" t="s">
        <v>107</v>
      </c>
      <c r="H19" s="397"/>
      <c r="I19" s="397"/>
      <c r="J19" s="397"/>
      <c r="K19" s="10">
        <f>SUM(K16:K18)</f>
        <v>92792.731899999999</v>
      </c>
      <c r="L19" s="397" t="s">
        <v>109</v>
      </c>
      <c r="M19" s="397"/>
      <c r="N19" s="397"/>
      <c r="O19" s="397"/>
      <c r="P19" s="12">
        <f>SUM(P16:P17)</f>
        <v>145.19999999999999</v>
      </c>
    </row>
    <row r="20" spans="1:16" s="33" customFormat="1" x14ac:dyDescent="0.25">
      <c r="A20" s="381" t="s">
        <v>106</v>
      </c>
      <c r="B20" s="381"/>
      <c r="C20" s="381"/>
      <c r="D20" s="381"/>
      <c r="E20" s="381"/>
      <c r="F20" s="10">
        <f>SUM(F19,K19,P19)</f>
        <v>97777.931899999996</v>
      </c>
      <c r="G20" s="381" t="s">
        <v>108</v>
      </c>
      <c r="H20" s="381"/>
      <c r="I20" s="381"/>
      <c r="J20" s="381"/>
      <c r="K20" s="381"/>
      <c r="L20" s="10">
        <f>F20*0.15</f>
        <v>14666.689784999999</v>
      </c>
      <c r="M20" s="382" t="s">
        <v>110</v>
      </c>
      <c r="N20" s="382"/>
      <c r="O20" s="382"/>
      <c r="P20" s="20">
        <f>TRUNC(SUM(F20,L20)/P12,2)</f>
        <v>8995.56</v>
      </c>
    </row>
    <row r="21" spans="1:16" x14ac:dyDescent="0.2">
      <c r="A21" s="129"/>
      <c r="B21" s="129"/>
      <c r="C21" s="129"/>
      <c r="D21" s="129"/>
      <c r="E21" s="129"/>
      <c r="F21" s="129"/>
      <c r="G21" s="129"/>
      <c r="H21" s="129"/>
      <c r="I21" s="129"/>
      <c r="J21" s="129"/>
      <c r="K21" s="129"/>
      <c r="L21" s="129"/>
      <c r="M21" s="129"/>
      <c r="N21" s="129"/>
      <c r="O21" s="129"/>
      <c r="P21" s="129"/>
    </row>
    <row r="22" spans="1:16" x14ac:dyDescent="0.2">
      <c r="A22" s="376" t="s">
        <v>96</v>
      </c>
      <c r="B22" s="376"/>
      <c r="C22" s="377" t="s">
        <v>267</v>
      </c>
      <c r="D22" s="377"/>
      <c r="E22" s="377"/>
      <c r="F22" s="377"/>
      <c r="G22" s="377"/>
      <c r="H22" s="377"/>
      <c r="I22" s="377"/>
      <c r="J22" s="377"/>
      <c r="K22" s="377"/>
      <c r="L22" s="377"/>
      <c r="M22" s="377"/>
      <c r="N22" s="377"/>
      <c r="O22" s="378" t="s">
        <v>85</v>
      </c>
      <c r="P22" s="5">
        <v>12.5</v>
      </c>
    </row>
    <row r="23" spans="1:16" x14ac:dyDescent="0.2">
      <c r="A23" s="395" t="s">
        <v>264</v>
      </c>
      <c r="B23" s="396"/>
      <c r="C23" s="377"/>
      <c r="D23" s="377"/>
      <c r="E23" s="377"/>
      <c r="F23" s="377"/>
      <c r="G23" s="377"/>
      <c r="H23" s="377"/>
      <c r="I23" s="377"/>
      <c r="J23" s="377"/>
      <c r="K23" s="377"/>
      <c r="L23" s="377"/>
      <c r="M23" s="377"/>
      <c r="N23" s="377"/>
      <c r="O23" s="378"/>
      <c r="P23" s="7" t="s">
        <v>82</v>
      </c>
    </row>
    <row r="24" spans="1:16" x14ac:dyDescent="0.2">
      <c r="A24" s="373" t="s">
        <v>98</v>
      </c>
      <c r="B24" s="374" t="s">
        <v>99</v>
      </c>
      <c r="C24" s="374"/>
      <c r="D24" s="374"/>
      <c r="E24" s="374"/>
      <c r="F24" s="374"/>
      <c r="G24" s="374" t="s">
        <v>100</v>
      </c>
      <c r="H24" s="374"/>
      <c r="I24" s="374"/>
      <c r="J24" s="374"/>
      <c r="K24" s="374"/>
      <c r="L24" s="374" t="s">
        <v>101</v>
      </c>
      <c r="M24" s="374"/>
      <c r="N24" s="374"/>
      <c r="O24" s="374"/>
      <c r="P24" s="374"/>
    </row>
    <row r="25" spans="1:16" x14ac:dyDescent="0.2">
      <c r="A25" s="373"/>
      <c r="B25" s="128" t="s">
        <v>102</v>
      </c>
      <c r="C25" s="128" t="s">
        <v>2</v>
      </c>
      <c r="D25" s="128" t="s">
        <v>103</v>
      </c>
      <c r="E25" s="128" t="s">
        <v>104</v>
      </c>
      <c r="F25" s="128" t="s">
        <v>86</v>
      </c>
      <c r="G25" s="128" t="s">
        <v>102</v>
      </c>
      <c r="H25" s="128" t="s">
        <v>2</v>
      </c>
      <c r="I25" s="128" t="s">
        <v>103</v>
      </c>
      <c r="J25" s="128" t="s">
        <v>104</v>
      </c>
      <c r="K25" s="128" t="s">
        <v>86</v>
      </c>
      <c r="L25" s="128" t="s">
        <v>102</v>
      </c>
      <c r="M25" s="128" t="s">
        <v>2</v>
      </c>
      <c r="N25" s="128" t="s">
        <v>103</v>
      </c>
      <c r="O25" s="128" t="s">
        <v>104</v>
      </c>
      <c r="P25" s="128" t="s">
        <v>86</v>
      </c>
    </row>
    <row r="26" spans="1:16" s="31" customFormat="1" ht="40.5" x14ac:dyDescent="0.25">
      <c r="A26" s="373" t="s">
        <v>265</v>
      </c>
      <c r="B26" s="26" t="s">
        <v>87</v>
      </c>
      <c r="C26" s="26" t="s">
        <v>90</v>
      </c>
      <c r="D26" s="24">
        <v>1</v>
      </c>
      <c r="E26" s="24">
        <f>basic_rates!D49</f>
        <v>1000</v>
      </c>
      <c r="F26" s="10">
        <f>TRUNC(D26*E26,2)</f>
        <v>1000</v>
      </c>
      <c r="G26" s="22" t="s">
        <v>31</v>
      </c>
      <c r="H26" s="8" t="s">
        <v>92</v>
      </c>
      <c r="I26" s="10">
        <v>0.1</v>
      </c>
      <c r="J26" s="27">
        <f>basic_rates!H27</f>
        <v>2122.9899999999998</v>
      </c>
      <c r="K26" s="10">
        <f t="shared" ref="K26:K28" si="2">I26*J26</f>
        <v>212.29899999999998</v>
      </c>
      <c r="L26" s="29" t="s">
        <v>268</v>
      </c>
      <c r="M26" s="8"/>
      <c r="N26" s="8"/>
      <c r="O26" s="11"/>
      <c r="P26" s="11">
        <f>3%*F29</f>
        <v>164.4</v>
      </c>
    </row>
    <row r="27" spans="1:16" s="31" customFormat="1" x14ac:dyDescent="0.25">
      <c r="A27" s="373"/>
      <c r="B27" s="26" t="s">
        <v>88</v>
      </c>
      <c r="C27" s="26" t="s">
        <v>90</v>
      </c>
      <c r="D27" s="24">
        <v>7</v>
      </c>
      <c r="E27" s="24">
        <f>basic_rates!D50</f>
        <v>640</v>
      </c>
      <c r="F27" s="10">
        <f>TRUNC(D27*E27,2)</f>
        <v>4480</v>
      </c>
      <c r="G27" s="8" t="s">
        <v>11</v>
      </c>
      <c r="H27" s="8" t="s">
        <v>204</v>
      </c>
      <c r="I27" s="10">
        <v>0.08</v>
      </c>
      <c r="J27" s="27">
        <f>basic_rates!H12</f>
        <v>19675.54</v>
      </c>
      <c r="K27" s="10">
        <f t="shared" si="2"/>
        <v>1574.0432000000001</v>
      </c>
      <c r="L27" s="128"/>
      <c r="M27" s="128"/>
      <c r="N27" s="128"/>
      <c r="O27" s="27"/>
      <c r="P27" s="11">
        <f>N27*O27</f>
        <v>0</v>
      </c>
    </row>
    <row r="28" spans="1:16" s="31" customFormat="1" x14ac:dyDescent="0.25">
      <c r="A28" s="127"/>
      <c r="B28" s="26"/>
      <c r="C28" s="26"/>
      <c r="D28" s="24"/>
      <c r="E28" s="24"/>
      <c r="F28" s="10"/>
      <c r="G28" s="8" t="s">
        <v>266</v>
      </c>
      <c r="H28" s="8" t="s">
        <v>205</v>
      </c>
      <c r="I28" s="10">
        <v>12.5</v>
      </c>
      <c r="J28" s="27">
        <f>basic_rates!H22</f>
        <v>10567.95</v>
      </c>
      <c r="K28" s="10">
        <f t="shared" si="2"/>
        <v>132099.375</v>
      </c>
      <c r="L28" s="128"/>
      <c r="M28" s="128"/>
      <c r="N28" s="128"/>
      <c r="O28" s="128"/>
      <c r="P28" s="11"/>
    </row>
    <row r="29" spans="1:16" s="32" customFormat="1" x14ac:dyDescent="0.25">
      <c r="A29" s="397" t="s">
        <v>105</v>
      </c>
      <c r="B29" s="397"/>
      <c r="C29" s="397"/>
      <c r="D29" s="397"/>
      <c r="E29" s="397"/>
      <c r="F29" s="12">
        <f>SUM(F26:F27)</f>
        <v>5480</v>
      </c>
      <c r="G29" s="397" t="s">
        <v>107</v>
      </c>
      <c r="H29" s="397"/>
      <c r="I29" s="397"/>
      <c r="J29" s="397"/>
      <c r="K29" s="10">
        <f>SUM(K26:K28)</f>
        <v>133885.71720000001</v>
      </c>
      <c r="L29" s="397" t="s">
        <v>109</v>
      </c>
      <c r="M29" s="397"/>
      <c r="N29" s="397"/>
      <c r="O29" s="397"/>
      <c r="P29" s="12">
        <f>SUM(P26:P27)</f>
        <v>164.4</v>
      </c>
    </row>
    <row r="30" spans="1:16" s="33" customFormat="1" x14ac:dyDescent="0.25">
      <c r="A30" s="381" t="s">
        <v>106</v>
      </c>
      <c r="B30" s="381"/>
      <c r="C30" s="381"/>
      <c r="D30" s="381"/>
      <c r="E30" s="381"/>
      <c r="F30" s="10">
        <f>SUM(F29,K29,P29)</f>
        <v>139530.11720000001</v>
      </c>
      <c r="G30" s="381" t="s">
        <v>108</v>
      </c>
      <c r="H30" s="381"/>
      <c r="I30" s="381"/>
      <c r="J30" s="381"/>
      <c r="K30" s="381"/>
      <c r="L30" s="10">
        <f>F30*0.15</f>
        <v>20929.51758</v>
      </c>
      <c r="M30" s="382" t="s">
        <v>110</v>
      </c>
      <c r="N30" s="382"/>
      <c r="O30" s="382"/>
      <c r="P30" s="20">
        <f>TRUNC(SUM(F30,L30)/P22,2)</f>
        <v>12836.77</v>
      </c>
    </row>
    <row r="31" spans="1:16" s="31" customFormat="1" x14ac:dyDescent="0.25">
      <c r="A31" s="34"/>
      <c r="B31" s="19"/>
      <c r="C31" s="19"/>
      <c r="D31" s="19"/>
      <c r="E31" s="19"/>
      <c r="F31" s="19"/>
      <c r="G31" s="19"/>
      <c r="H31" s="19"/>
      <c r="I31" s="19"/>
      <c r="J31" s="19"/>
      <c r="K31" s="19"/>
      <c r="L31" s="19"/>
      <c r="M31" s="19"/>
      <c r="N31" s="19"/>
      <c r="O31" s="19"/>
      <c r="P31" s="19"/>
    </row>
    <row r="32" spans="1:16" x14ac:dyDescent="0.2">
      <c r="A32" s="376" t="s">
        <v>96</v>
      </c>
      <c r="B32" s="376"/>
      <c r="C32" s="377" t="s">
        <v>269</v>
      </c>
      <c r="D32" s="377"/>
      <c r="E32" s="377"/>
      <c r="F32" s="377"/>
      <c r="G32" s="377"/>
      <c r="H32" s="377"/>
      <c r="I32" s="377"/>
      <c r="J32" s="377"/>
      <c r="K32" s="377"/>
      <c r="L32" s="377"/>
      <c r="M32" s="377"/>
      <c r="N32" s="377"/>
      <c r="O32" s="378" t="s">
        <v>85</v>
      </c>
      <c r="P32" s="5">
        <v>12.5</v>
      </c>
    </row>
    <row r="33" spans="1:16" x14ac:dyDescent="0.2">
      <c r="A33" s="395" t="s">
        <v>264</v>
      </c>
      <c r="B33" s="396"/>
      <c r="C33" s="377"/>
      <c r="D33" s="377"/>
      <c r="E33" s="377"/>
      <c r="F33" s="377"/>
      <c r="G33" s="377"/>
      <c r="H33" s="377"/>
      <c r="I33" s="377"/>
      <c r="J33" s="377"/>
      <c r="K33" s="377"/>
      <c r="L33" s="377"/>
      <c r="M33" s="377"/>
      <c r="N33" s="377"/>
      <c r="O33" s="378"/>
      <c r="P33" s="7" t="s">
        <v>82</v>
      </c>
    </row>
    <row r="34" spans="1:16" x14ac:dyDescent="0.2">
      <c r="A34" s="373" t="s">
        <v>98</v>
      </c>
      <c r="B34" s="374" t="s">
        <v>99</v>
      </c>
      <c r="C34" s="374"/>
      <c r="D34" s="374"/>
      <c r="E34" s="374"/>
      <c r="F34" s="374"/>
      <c r="G34" s="374" t="s">
        <v>100</v>
      </c>
      <c r="H34" s="374"/>
      <c r="I34" s="374"/>
      <c r="J34" s="374"/>
      <c r="K34" s="374"/>
      <c r="L34" s="374" t="s">
        <v>101</v>
      </c>
      <c r="M34" s="374"/>
      <c r="N34" s="374"/>
      <c r="O34" s="374"/>
      <c r="P34" s="374"/>
    </row>
    <row r="35" spans="1:16" x14ac:dyDescent="0.2">
      <c r="A35" s="373"/>
      <c r="B35" s="128" t="s">
        <v>102</v>
      </c>
      <c r="C35" s="128" t="s">
        <v>2</v>
      </c>
      <c r="D35" s="128" t="s">
        <v>103</v>
      </c>
      <c r="E35" s="128" t="s">
        <v>104</v>
      </c>
      <c r="F35" s="128" t="s">
        <v>86</v>
      </c>
      <c r="G35" s="128" t="s">
        <v>102</v>
      </c>
      <c r="H35" s="128" t="s">
        <v>2</v>
      </c>
      <c r="I35" s="128" t="s">
        <v>103</v>
      </c>
      <c r="J35" s="128" t="s">
        <v>104</v>
      </c>
      <c r="K35" s="128" t="s">
        <v>86</v>
      </c>
      <c r="L35" s="128" t="s">
        <v>102</v>
      </c>
      <c r="M35" s="128" t="s">
        <v>2</v>
      </c>
      <c r="N35" s="128" t="s">
        <v>103</v>
      </c>
      <c r="O35" s="128" t="s">
        <v>104</v>
      </c>
      <c r="P35" s="128" t="s">
        <v>86</v>
      </c>
    </row>
    <row r="36" spans="1:16" s="31" customFormat="1" ht="40.5" x14ac:dyDescent="0.25">
      <c r="A36" s="373" t="s">
        <v>270</v>
      </c>
      <c r="B36" s="26" t="s">
        <v>87</v>
      </c>
      <c r="C36" s="26" t="s">
        <v>90</v>
      </c>
      <c r="D36" s="24">
        <v>1</v>
      </c>
      <c r="E36" s="24">
        <f>E26</f>
        <v>1000</v>
      </c>
      <c r="F36" s="10">
        <f>TRUNC(D36*E36,2)</f>
        <v>1000</v>
      </c>
      <c r="G36" s="22" t="s">
        <v>31</v>
      </c>
      <c r="H36" s="8" t="s">
        <v>92</v>
      </c>
      <c r="I36" s="10">
        <v>0.12</v>
      </c>
      <c r="J36" s="27">
        <f>J26</f>
        <v>2122.9899999999998</v>
      </c>
      <c r="K36" s="10">
        <f t="shared" ref="K36:K38" si="3">I36*J36</f>
        <v>254.75879999999995</v>
      </c>
      <c r="L36" s="29" t="s">
        <v>268</v>
      </c>
      <c r="M36" s="8"/>
      <c r="N36" s="8"/>
      <c r="O36" s="11"/>
      <c r="P36" s="11">
        <f>3%*F39</f>
        <v>164.4</v>
      </c>
    </row>
    <row r="37" spans="1:16" s="31" customFormat="1" x14ac:dyDescent="0.25">
      <c r="A37" s="373"/>
      <c r="B37" s="26" t="s">
        <v>88</v>
      </c>
      <c r="C37" s="26" t="s">
        <v>90</v>
      </c>
      <c r="D37" s="24">
        <v>7</v>
      </c>
      <c r="E37" s="24">
        <f>E27</f>
        <v>640</v>
      </c>
      <c r="F37" s="10">
        <f>TRUNC(D37*E37,2)</f>
        <v>4480</v>
      </c>
      <c r="G37" s="8" t="s">
        <v>11</v>
      </c>
      <c r="H37" s="8" t="s">
        <v>204</v>
      </c>
      <c r="I37" s="10">
        <v>0.09</v>
      </c>
      <c r="J37" s="27">
        <f t="shared" ref="J37" si="4">J27</f>
        <v>19675.54</v>
      </c>
      <c r="K37" s="10">
        <f t="shared" si="3"/>
        <v>1770.7986000000001</v>
      </c>
      <c r="L37" s="128"/>
      <c r="M37" s="128"/>
      <c r="N37" s="128"/>
      <c r="O37" s="27"/>
      <c r="P37" s="11">
        <f>N37*O37</f>
        <v>0</v>
      </c>
    </row>
    <row r="38" spans="1:16" s="31" customFormat="1" x14ac:dyDescent="0.25">
      <c r="A38" s="127"/>
      <c r="B38" s="26"/>
      <c r="C38" s="26"/>
      <c r="D38" s="24"/>
      <c r="E38" s="24"/>
      <c r="F38" s="10"/>
      <c r="G38" s="8" t="s">
        <v>266</v>
      </c>
      <c r="H38" s="8" t="s">
        <v>205</v>
      </c>
      <c r="I38" s="10">
        <v>12.5</v>
      </c>
      <c r="J38" s="27">
        <f>basic_rates!H23</f>
        <v>15417.95</v>
      </c>
      <c r="K38" s="10">
        <f t="shared" si="3"/>
        <v>192724.375</v>
      </c>
      <c r="L38" s="128"/>
      <c r="M38" s="128"/>
      <c r="N38" s="128"/>
      <c r="O38" s="128"/>
      <c r="P38" s="11"/>
    </row>
    <row r="39" spans="1:16" s="32" customFormat="1" x14ac:dyDescent="0.25">
      <c r="A39" s="397" t="s">
        <v>105</v>
      </c>
      <c r="B39" s="397"/>
      <c r="C39" s="397"/>
      <c r="D39" s="397"/>
      <c r="E39" s="397"/>
      <c r="F39" s="12">
        <f>SUM(F36:F37)</f>
        <v>5480</v>
      </c>
      <c r="G39" s="397" t="s">
        <v>107</v>
      </c>
      <c r="H39" s="397"/>
      <c r="I39" s="397"/>
      <c r="J39" s="397"/>
      <c r="K39" s="10">
        <f>SUM(K36:K38)</f>
        <v>194749.93239999999</v>
      </c>
      <c r="L39" s="397" t="s">
        <v>109</v>
      </c>
      <c r="M39" s="397"/>
      <c r="N39" s="397"/>
      <c r="O39" s="397"/>
      <c r="P39" s="12">
        <f>SUM(P36:P37)</f>
        <v>164.4</v>
      </c>
    </row>
    <row r="40" spans="1:16" s="33" customFormat="1" x14ac:dyDescent="0.25">
      <c r="A40" s="381" t="s">
        <v>106</v>
      </c>
      <c r="B40" s="381"/>
      <c r="C40" s="381"/>
      <c r="D40" s="381"/>
      <c r="E40" s="381"/>
      <c r="F40" s="10">
        <f>SUM(F39,K39,P39)</f>
        <v>200394.33239999998</v>
      </c>
      <c r="G40" s="381" t="s">
        <v>108</v>
      </c>
      <c r="H40" s="381"/>
      <c r="I40" s="381"/>
      <c r="J40" s="381"/>
      <c r="K40" s="381"/>
      <c r="L40" s="10">
        <f>F40*0.15</f>
        <v>30059.149859999998</v>
      </c>
      <c r="M40" s="382" t="s">
        <v>110</v>
      </c>
      <c r="N40" s="382"/>
      <c r="O40" s="382"/>
      <c r="P40" s="20">
        <f>TRUNC(SUM(F40,L40)/P32,2)</f>
        <v>18436.27</v>
      </c>
    </row>
  </sheetData>
  <mergeCells count="61">
    <mergeCell ref="A6:A7"/>
    <mergeCell ref="A9:E9"/>
    <mergeCell ref="G9:J9"/>
    <mergeCell ref="L9:O9"/>
    <mergeCell ref="A10:E10"/>
    <mergeCell ref="G10:K10"/>
    <mergeCell ref="M10:O10"/>
    <mergeCell ref="A2:B2"/>
    <mergeCell ref="C2:N3"/>
    <mergeCell ref="O2:O3"/>
    <mergeCell ref="A3:B3"/>
    <mergeCell ref="A4:A5"/>
    <mergeCell ref="B4:F4"/>
    <mergeCell ref="G4:K4"/>
    <mergeCell ref="L4:P4"/>
    <mergeCell ref="A36:A37"/>
    <mergeCell ref="A39:E39"/>
    <mergeCell ref="G39:J39"/>
    <mergeCell ref="L39:O39"/>
    <mergeCell ref="A40:E40"/>
    <mergeCell ref="G40:K40"/>
    <mergeCell ref="M40:O40"/>
    <mergeCell ref="A32:B32"/>
    <mergeCell ref="C32:N33"/>
    <mergeCell ref="O32:O33"/>
    <mergeCell ref="A33:B33"/>
    <mergeCell ref="A34:A35"/>
    <mergeCell ref="B34:F34"/>
    <mergeCell ref="G34:K34"/>
    <mergeCell ref="L34:P34"/>
    <mergeCell ref="A26:A27"/>
    <mergeCell ref="A29:E29"/>
    <mergeCell ref="G29:J29"/>
    <mergeCell ref="L29:O29"/>
    <mergeCell ref="A30:E30"/>
    <mergeCell ref="G30:K30"/>
    <mergeCell ref="M30:O30"/>
    <mergeCell ref="A1:P1"/>
    <mergeCell ref="A22:B22"/>
    <mergeCell ref="C22:N23"/>
    <mergeCell ref="O22:O23"/>
    <mergeCell ref="A23:B23"/>
    <mergeCell ref="C12:N13"/>
    <mergeCell ref="O12:O13"/>
    <mergeCell ref="A13:B13"/>
    <mergeCell ref="A14:A15"/>
    <mergeCell ref="B14:F14"/>
    <mergeCell ref="G14:K14"/>
    <mergeCell ref="L14:P14"/>
    <mergeCell ref="A16:A17"/>
    <mergeCell ref="A19:E19"/>
    <mergeCell ref="G19:J19"/>
    <mergeCell ref="L19:O19"/>
    <mergeCell ref="A24:A25"/>
    <mergeCell ref="B24:F24"/>
    <mergeCell ref="G24:K24"/>
    <mergeCell ref="L24:P24"/>
    <mergeCell ref="A12:B12"/>
    <mergeCell ref="A20:E20"/>
    <mergeCell ref="G20:K20"/>
    <mergeCell ref="M20:O20"/>
  </mergeCells>
  <printOptions horizontalCentered="1"/>
  <pageMargins left="0.70866141732283472" right="0.70866141732283472" top="0.74803149606299213" bottom="0.74803149606299213" header="0.31496062992125984" footer="0.31496062992125984"/>
  <pageSetup scale="70" orientation="landscape" r:id="rId1"/>
  <headerFooter>
    <oddFooter>&amp;LPrepared By:&amp;CChecked By:&amp;RApproved By: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4"/>
  <sheetViews>
    <sheetView view="pageBreakPreview" zoomScale="110" zoomScaleNormal="100" zoomScaleSheetLayoutView="110" workbookViewId="0">
      <selection activeCell="L22" sqref="L22"/>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9.85546875" style="1" customWidth="1"/>
    <col min="7" max="7" width="14.140625" style="1" bestFit="1" customWidth="1"/>
    <col min="8" max="8" width="9.140625" style="1" customWidth="1"/>
    <col min="9" max="9" width="6.28515625" style="1" customWidth="1"/>
    <col min="10" max="10" width="9.28515625" style="1" bestFit="1" customWidth="1"/>
    <col min="11" max="11" width="10.140625" style="1" bestFit="1" customWidth="1"/>
    <col min="12" max="12" width="24.42578125" style="1" customWidth="1"/>
    <col min="13" max="13" width="8.7109375" style="1"/>
    <col min="14" max="15" width="8.7109375" style="1" bestFit="1" customWidth="1"/>
    <col min="16" max="16" width="9.28515625" style="1" bestFit="1" customWidth="1"/>
    <col min="17" max="16384" width="8.7109375" style="1"/>
  </cols>
  <sheetData>
    <row r="1" spans="1:16" x14ac:dyDescent="0.2">
      <c r="A1" s="375" t="s">
        <v>180</v>
      </c>
      <c r="B1" s="375"/>
      <c r="C1" s="375"/>
      <c r="D1" s="375"/>
      <c r="E1" s="375"/>
      <c r="F1" s="375"/>
      <c r="G1" s="375"/>
      <c r="H1" s="375"/>
      <c r="I1" s="375"/>
      <c r="J1" s="375"/>
      <c r="K1" s="375"/>
      <c r="L1" s="375"/>
      <c r="M1" s="375"/>
      <c r="N1" s="375"/>
      <c r="O1" s="375"/>
      <c r="P1" s="375"/>
    </row>
    <row r="2" spans="1:16" x14ac:dyDescent="0.2">
      <c r="A2" s="376" t="s">
        <v>96</v>
      </c>
      <c r="B2" s="376"/>
      <c r="C2" s="377" t="s">
        <v>188</v>
      </c>
      <c r="D2" s="377"/>
      <c r="E2" s="377"/>
      <c r="F2" s="377"/>
      <c r="G2" s="377"/>
      <c r="H2" s="377"/>
      <c r="I2" s="377"/>
      <c r="J2" s="377"/>
      <c r="K2" s="377"/>
      <c r="L2" s="377"/>
      <c r="M2" s="377"/>
      <c r="N2" s="377"/>
      <c r="O2" s="378" t="s">
        <v>85</v>
      </c>
      <c r="P2" s="5">
        <v>10</v>
      </c>
    </row>
    <row r="3" spans="1:16" x14ac:dyDescent="0.2">
      <c r="A3" s="395" t="s">
        <v>181</v>
      </c>
      <c r="B3" s="396"/>
      <c r="C3" s="377"/>
      <c r="D3" s="377"/>
      <c r="E3" s="377"/>
      <c r="F3" s="377"/>
      <c r="G3" s="377"/>
      <c r="H3" s="377"/>
      <c r="I3" s="377"/>
      <c r="J3" s="377"/>
      <c r="K3" s="377"/>
      <c r="L3" s="377"/>
      <c r="M3" s="377"/>
      <c r="N3" s="377"/>
      <c r="O3" s="378"/>
      <c r="P3" s="7" t="s">
        <v>30</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317" t="s">
        <v>102</v>
      </c>
      <c r="C5" s="317" t="s">
        <v>2</v>
      </c>
      <c r="D5" s="317" t="s">
        <v>103</v>
      </c>
      <c r="E5" s="317" t="s">
        <v>104</v>
      </c>
      <c r="F5" s="317" t="s">
        <v>86</v>
      </c>
      <c r="G5" s="317" t="s">
        <v>102</v>
      </c>
      <c r="H5" s="317" t="s">
        <v>2</v>
      </c>
      <c r="I5" s="317" t="s">
        <v>103</v>
      </c>
      <c r="J5" s="317" t="s">
        <v>104</v>
      </c>
      <c r="K5" s="317" t="s">
        <v>86</v>
      </c>
      <c r="L5" s="317" t="s">
        <v>102</v>
      </c>
      <c r="M5" s="317" t="s">
        <v>2</v>
      </c>
      <c r="N5" s="317" t="s">
        <v>103</v>
      </c>
      <c r="O5" s="317" t="s">
        <v>104</v>
      </c>
      <c r="P5" s="317" t="s">
        <v>86</v>
      </c>
    </row>
    <row r="6" spans="1:16" s="31" customFormat="1" ht="27" x14ac:dyDescent="0.25">
      <c r="A6" s="373">
        <v>18.100000000000001</v>
      </c>
      <c r="B6" s="26" t="s">
        <v>87</v>
      </c>
      <c r="C6" s="26" t="s">
        <v>90</v>
      </c>
      <c r="D6" s="24">
        <v>1.5</v>
      </c>
      <c r="E6" s="24">
        <f>basic_rates!D49</f>
        <v>1000</v>
      </c>
      <c r="F6" s="10">
        <f>TRUNC(D6*E6,2)</f>
        <v>1500</v>
      </c>
      <c r="G6" s="22" t="s">
        <v>182</v>
      </c>
      <c r="H6" s="8" t="s">
        <v>92</v>
      </c>
      <c r="I6" s="10">
        <v>0.42</v>
      </c>
      <c r="J6" s="196">
        <f>basic_rates!H32</f>
        <v>49402.572799999994</v>
      </c>
      <c r="K6" s="10">
        <f>I6*J6/8</f>
        <v>2593.6350719999996</v>
      </c>
      <c r="L6" s="29"/>
      <c r="M6" s="8"/>
      <c r="N6" s="8"/>
      <c r="O6" s="11"/>
      <c r="P6" s="11"/>
    </row>
    <row r="7" spans="1:16" s="31" customFormat="1" x14ac:dyDescent="0.25">
      <c r="A7" s="373"/>
      <c r="B7" s="26" t="s">
        <v>88</v>
      </c>
      <c r="C7" s="26" t="s">
        <v>90</v>
      </c>
      <c r="D7" s="24">
        <v>2</v>
      </c>
      <c r="E7" s="24">
        <f>basic_rates!D50</f>
        <v>640</v>
      </c>
      <c r="F7" s="10">
        <f>TRUNC(D7*E7,2)</f>
        <v>1280</v>
      </c>
      <c r="G7" s="8" t="s">
        <v>183</v>
      </c>
      <c r="H7" s="8" t="s">
        <v>92</v>
      </c>
      <c r="I7" s="10">
        <v>0.18</v>
      </c>
      <c r="J7" s="342">
        <f>J6</f>
        <v>49402.572799999994</v>
      </c>
      <c r="K7" s="10">
        <f>I7*J7/12</f>
        <v>741.03859199999988</v>
      </c>
      <c r="L7" s="317"/>
      <c r="M7" s="317"/>
      <c r="N7" s="317"/>
      <c r="O7" s="27"/>
      <c r="P7" s="11">
        <f>N7*O7</f>
        <v>0</v>
      </c>
    </row>
    <row r="8" spans="1:16" s="31" customFormat="1" x14ac:dyDescent="0.25">
      <c r="A8" s="316"/>
      <c r="B8" s="26"/>
      <c r="C8" s="26"/>
      <c r="D8" s="24"/>
      <c r="E8" s="24"/>
      <c r="F8" s="10"/>
      <c r="G8" s="8" t="s">
        <v>184</v>
      </c>
      <c r="H8" s="8" t="s">
        <v>39</v>
      </c>
      <c r="I8" s="10">
        <v>1</v>
      </c>
      <c r="J8" s="343">
        <f>basic_rates!H44</f>
        <v>103</v>
      </c>
      <c r="K8" s="10">
        <f t="shared" ref="K8" si="0">I8*J8</f>
        <v>103</v>
      </c>
      <c r="L8" s="317"/>
      <c r="M8" s="317"/>
      <c r="N8" s="317"/>
      <c r="O8" s="317"/>
      <c r="P8" s="11"/>
    </row>
    <row r="9" spans="1:16" s="32" customFormat="1" x14ac:dyDescent="0.25">
      <c r="A9" s="397" t="s">
        <v>105</v>
      </c>
      <c r="B9" s="397"/>
      <c r="C9" s="397"/>
      <c r="D9" s="397"/>
      <c r="E9" s="397"/>
      <c r="F9" s="12">
        <f>SUM(F6:F7)</f>
        <v>2780</v>
      </c>
      <c r="G9" s="397" t="s">
        <v>107</v>
      </c>
      <c r="H9" s="397"/>
      <c r="I9" s="397"/>
      <c r="J9" s="397"/>
      <c r="K9" s="10">
        <f>SUM(K6:K8)</f>
        <v>3437.6736639999995</v>
      </c>
      <c r="L9" s="397" t="s">
        <v>109</v>
      </c>
      <c r="M9" s="397"/>
      <c r="N9" s="397"/>
      <c r="O9" s="397"/>
      <c r="P9" s="12">
        <f>SUM(P6:P7)</f>
        <v>0</v>
      </c>
    </row>
    <row r="10" spans="1:16" s="33" customFormat="1" x14ac:dyDescent="0.25">
      <c r="A10" s="381" t="s">
        <v>106</v>
      </c>
      <c r="B10" s="381"/>
      <c r="C10" s="381"/>
      <c r="D10" s="381"/>
      <c r="E10" s="381"/>
      <c r="F10" s="10">
        <f>SUM(F9,K9,P9)</f>
        <v>6217.6736639999999</v>
      </c>
      <c r="G10" s="381" t="s">
        <v>108</v>
      </c>
      <c r="H10" s="381"/>
      <c r="I10" s="381"/>
      <c r="J10" s="381"/>
      <c r="K10" s="381"/>
      <c r="L10" s="10">
        <f>F10*0.15</f>
        <v>932.65104959999996</v>
      </c>
      <c r="M10" s="382" t="s">
        <v>110</v>
      </c>
      <c r="N10" s="382"/>
      <c r="O10" s="382"/>
      <c r="P10" s="20">
        <f>TRUNC(SUM(F10,L10)/P2,2)</f>
        <v>715.03</v>
      </c>
    </row>
    <row r="11" spans="1:16" s="31" customFormat="1" x14ac:dyDescent="0.25">
      <c r="A11" s="344"/>
      <c r="B11" s="19"/>
      <c r="C11" s="19"/>
      <c r="D11" s="19"/>
      <c r="E11" s="19"/>
      <c r="F11" s="19"/>
      <c r="G11" s="19"/>
      <c r="H11" s="19"/>
      <c r="I11" s="19"/>
      <c r="J11" s="19"/>
      <c r="K11" s="19"/>
      <c r="L11" s="19"/>
      <c r="M11" s="19"/>
      <c r="N11" s="19"/>
      <c r="O11" s="19"/>
      <c r="P11" s="345"/>
    </row>
    <row r="12" spans="1:16" x14ac:dyDescent="0.2">
      <c r="A12" s="346" t="s">
        <v>185</v>
      </c>
      <c r="B12" s="15"/>
      <c r="C12" s="15"/>
      <c r="D12" s="15"/>
      <c r="E12" s="15"/>
      <c r="F12" s="15"/>
      <c r="G12" s="15"/>
      <c r="H12" s="15"/>
      <c r="I12" s="15"/>
      <c r="J12" s="15"/>
      <c r="K12" s="15"/>
      <c r="L12" s="15"/>
      <c r="M12" s="15"/>
      <c r="N12" s="15"/>
      <c r="O12" s="15"/>
      <c r="P12" s="347"/>
    </row>
    <row r="13" spans="1:16" x14ac:dyDescent="0.2">
      <c r="A13" s="346">
        <v>1</v>
      </c>
      <c r="B13" s="15" t="s">
        <v>186</v>
      </c>
      <c r="C13" s="15"/>
      <c r="D13" s="15"/>
      <c r="E13" s="15"/>
      <c r="F13" s="15"/>
      <c r="G13" s="15"/>
      <c r="H13" s="15"/>
      <c r="I13" s="15"/>
      <c r="J13" s="15"/>
      <c r="K13" s="15"/>
      <c r="L13" s="15"/>
      <c r="M13" s="15"/>
      <c r="N13" s="15"/>
      <c r="O13" s="15"/>
      <c r="P13" s="347"/>
    </row>
    <row r="14" spans="1:16" x14ac:dyDescent="0.2">
      <c r="A14" s="348">
        <v>2</v>
      </c>
      <c r="B14" s="349" t="s">
        <v>187</v>
      </c>
      <c r="C14" s="349"/>
      <c r="D14" s="349"/>
      <c r="E14" s="349"/>
      <c r="F14" s="349"/>
      <c r="G14" s="349"/>
      <c r="H14" s="349"/>
      <c r="I14" s="349"/>
      <c r="J14" s="349"/>
      <c r="K14" s="349"/>
      <c r="L14" s="349"/>
      <c r="M14" s="349"/>
      <c r="N14" s="349"/>
      <c r="O14" s="349"/>
      <c r="P14" s="350"/>
    </row>
  </sheetData>
  <mergeCells count="16">
    <mergeCell ref="A6:A7"/>
    <mergeCell ref="A9:E9"/>
    <mergeCell ref="G9:J9"/>
    <mergeCell ref="L9:O9"/>
    <mergeCell ref="A10:E10"/>
    <mergeCell ref="G10:K10"/>
    <mergeCell ref="M10:O10"/>
    <mergeCell ref="A4:A5"/>
    <mergeCell ref="B4:F4"/>
    <mergeCell ref="G4:K4"/>
    <mergeCell ref="L4:P4"/>
    <mergeCell ref="A1:P1"/>
    <mergeCell ref="A2:B2"/>
    <mergeCell ref="C2:N3"/>
    <mergeCell ref="O2:O3"/>
    <mergeCell ref="A3:B3"/>
  </mergeCells>
  <printOptions horizontalCentered="1"/>
  <pageMargins left="0.70866141732283472" right="0.70866141732283472" top="0.74803149606299213" bottom="0.74803149606299213" header="0.31496062992125984" footer="0.31496062992125984"/>
  <pageSetup scale="70" orientation="landscape" r:id="rId1"/>
  <headerFooter>
    <oddFooter>&amp;LPrepared By:&amp;CChecked By:&amp;RApproved By: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P21"/>
  <sheetViews>
    <sheetView view="pageBreakPreview" zoomScaleNormal="100" zoomScaleSheetLayoutView="100" workbookViewId="0">
      <selection activeCell="Q9" sqref="Q9"/>
    </sheetView>
  </sheetViews>
  <sheetFormatPr defaultColWidth="8.7109375" defaultRowHeight="13.5" x14ac:dyDescent="0.2"/>
  <cols>
    <col min="1" max="1" width="9.140625" style="1" customWidth="1"/>
    <col min="2" max="2" width="10.28515625" style="1" customWidth="1"/>
    <col min="3" max="3" width="7.7109375" style="1" customWidth="1"/>
    <col min="4" max="4" width="8.5703125" style="1" customWidth="1"/>
    <col min="5" max="5" width="10.28515625" style="1" customWidth="1"/>
    <col min="6" max="6" width="9.85546875" style="1" customWidth="1"/>
    <col min="7" max="7" width="14.140625" style="1" bestFit="1" customWidth="1"/>
    <col min="8" max="8" width="9.140625" style="1" customWidth="1"/>
    <col min="9" max="9" width="6.28515625" style="1" customWidth="1"/>
    <col min="10" max="10" width="9.28515625" style="1" bestFit="1" customWidth="1"/>
    <col min="11" max="11" width="10.140625" style="1" bestFit="1" customWidth="1"/>
    <col min="12" max="12" width="24.42578125" style="1" customWidth="1"/>
    <col min="13" max="13" width="8.7109375" style="1"/>
    <col min="14" max="15" width="8.7109375" style="1" bestFit="1" customWidth="1"/>
    <col min="16" max="16" width="9.28515625" style="1" bestFit="1" customWidth="1"/>
    <col min="17" max="16384" width="8.7109375" style="1"/>
  </cols>
  <sheetData>
    <row r="1" spans="1:16" x14ac:dyDescent="0.2">
      <c r="A1" s="375" t="s">
        <v>476</v>
      </c>
      <c r="B1" s="375"/>
      <c r="C1" s="375"/>
      <c r="D1" s="375"/>
      <c r="E1" s="375"/>
      <c r="F1" s="375"/>
      <c r="G1" s="375"/>
      <c r="H1" s="375"/>
      <c r="I1" s="375"/>
      <c r="J1" s="375"/>
      <c r="K1" s="375"/>
      <c r="L1" s="375"/>
      <c r="M1" s="375"/>
      <c r="N1" s="375"/>
      <c r="O1" s="375"/>
      <c r="P1" s="375"/>
    </row>
    <row r="2" spans="1:16" x14ac:dyDescent="0.2">
      <c r="A2" s="376" t="s">
        <v>96</v>
      </c>
      <c r="B2" s="376"/>
      <c r="C2" s="377" t="s">
        <v>275</v>
      </c>
      <c r="D2" s="377"/>
      <c r="E2" s="377"/>
      <c r="F2" s="377"/>
      <c r="G2" s="377"/>
      <c r="H2" s="377"/>
      <c r="I2" s="377"/>
      <c r="J2" s="377"/>
      <c r="K2" s="377"/>
      <c r="L2" s="377"/>
      <c r="M2" s="377"/>
      <c r="N2" s="377"/>
      <c r="O2" s="378" t="s">
        <v>85</v>
      </c>
      <c r="P2" s="5">
        <v>1</v>
      </c>
    </row>
    <row r="3" spans="1:16" x14ac:dyDescent="0.2">
      <c r="A3" s="395" t="s">
        <v>317</v>
      </c>
      <c r="B3" s="396"/>
      <c r="C3" s="377"/>
      <c r="D3" s="377"/>
      <c r="E3" s="377"/>
      <c r="F3" s="377"/>
      <c r="G3" s="377"/>
      <c r="H3" s="377"/>
      <c r="I3" s="377"/>
      <c r="J3" s="377"/>
      <c r="K3" s="377"/>
      <c r="L3" s="377"/>
      <c r="M3" s="377"/>
      <c r="N3" s="377"/>
      <c r="O3" s="378"/>
      <c r="P3" s="7" t="s">
        <v>92</v>
      </c>
    </row>
    <row r="4" spans="1:16" x14ac:dyDescent="0.2">
      <c r="A4" s="373" t="s">
        <v>98</v>
      </c>
      <c r="B4" s="374" t="s">
        <v>99</v>
      </c>
      <c r="C4" s="374"/>
      <c r="D4" s="374"/>
      <c r="E4" s="374"/>
      <c r="F4" s="374"/>
      <c r="G4" s="374" t="s">
        <v>100</v>
      </c>
      <c r="H4" s="374"/>
      <c r="I4" s="374"/>
      <c r="J4" s="374"/>
      <c r="K4" s="374"/>
      <c r="L4" s="374" t="s">
        <v>101</v>
      </c>
      <c r="M4" s="374"/>
      <c r="N4" s="374"/>
      <c r="O4" s="374"/>
      <c r="P4" s="374"/>
    </row>
    <row r="5" spans="1:16" x14ac:dyDescent="0.2">
      <c r="A5" s="373"/>
      <c r="B5" s="317" t="s">
        <v>102</v>
      </c>
      <c r="C5" s="317" t="s">
        <v>2</v>
      </c>
      <c r="D5" s="317" t="s">
        <v>103</v>
      </c>
      <c r="E5" s="317" t="s">
        <v>104</v>
      </c>
      <c r="F5" s="317" t="s">
        <v>86</v>
      </c>
      <c r="G5" s="317" t="s">
        <v>102</v>
      </c>
      <c r="H5" s="317" t="s">
        <v>2</v>
      </c>
      <c r="I5" s="317" t="s">
        <v>103</v>
      </c>
      <c r="J5" s="317" t="s">
        <v>104</v>
      </c>
      <c r="K5" s="317" t="s">
        <v>86</v>
      </c>
      <c r="L5" s="317" t="s">
        <v>102</v>
      </c>
      <c r="M5" s="317" t="s">
        <v>2</v>
      </c>
      <c r="N5" s="317" t="s">
        <v>103</v>
      </c>
      <c r="O5" s="317" t="s">
        <v>104</v>
      </c>
      <c r="P5" s="317" t="s">
        <v>86</v>
      </c>
    </row>
    <row r="6" spans="1:16" s="31" customFormat="1" x14ac:dyDescent="0.25">
      <c r="A6" s="373">
        <v>10.8</v>
      </c>
      <c r="B6" s="26" t="s">
        <v>87</v>
      </c>
      <c r="C6" s="26" t="s">
        <v>90</v>
      </c>
      <c r="D6" s="24"/>
      <c r="E6" s="24"/>
      <c r="F6" s="10">
        <f>TRUNC(D6*E6,2)</f>
        <v>0</v>
      </c>
      <c r="G6" s="22" t="s">
        <v>316</v>
      </c>
      <c r="H6" s="8" t="s">
        <v>92</v>
      </c>
      <c r="I6" s="10">
        <v>1.25</v>
      </c>
      <c r="J6" s="10">
        <f>basic_rates!H29</f>
        <v>1522.99</v>
      </c>
      <c r="K6" s="10">
        <f>I6*J6</f>
        <v>1903.7375</v>
      </c>
      <c r="L6" s="29"/>
      <c r="M6" s="8"/>
      <c r="N6" s="8"/>
      <c r="O6" s="11"/>
      <c r="P6" s="11"/>
    </row>
    <row r="7" spans="1:16" s="31" customFormat="1" x14ac:dyDescent="0.25">
      <c r="A7" s="373"/>
      <c r="B7" s="26" t="s">
        <v>88</v>
      </c>
      <c r="C7" s="26" t="s">
        <v>90</v>
      </c>
      <c r="D7" s="24">
        <v>1.25</v>
      </c>
      <c r="E7" s="24">
        <f>basic_rates!D50</f>
        <v>640</v>
      </c>
      <c r="F7" s="10">
        <f>TRUNC(D7*E7,2)</f>
        <v>800</v>
      </c>
      <c r="G7" s="8"/>
      <c r="H7" s="8"/>
      <c r="I7" s="10"/>
      <c r="J7" s="10"/>
      <c r="K7" s="10">
        <f>I7*J7/12</f>
        <v>0</v>
      </c>
      <c r="L7" s="317"/>
      <c r="M7" s="317"/>
      <c r="N7" s="317"/>
      <c r="O7" s="27"/>
      <c r="P7" s="11">
        <f>N7*O7</f>
        <v>0</v>
      </c>
    </row>
    <row r="8" spans="1:16" s="31" customFormat="1" x14ac:dyDescent="0.25">
      <c r="A8" s="316"/>
      <c r="B8" s="26"/>
      <c r="C8" s="26"/>
      <c r="D8" s="24"/>
      <c r="E8" s="24"/>
      <c r="F8" s="10"/>
      <c r="G8" s="8"/>
      <c r="H8" s="8"/>
      <c r="I8" s="10"/>
      <c r="J8" s="10"/>
      <c r="K8" s="10">
        <f t="shared" ref="K8" si="0">I8*J8</f>
        <v>0</v>
      </c>
      <c r="L8" s="317"/>
      <c r="M8" s="317"/>
      <c r="N8" s="317"/>
      <c r="O8" s="317"/>
      <c r="P8" s="11"/>
    </row>
    <row r="9" spans="1:16" s="32" customFormat="1" x14ac:dyDescent="0.25">
      <c r="A9" s="397" t="s">
        <v>105</v>
      </c>
      <c r="B9" s="397"/>
      <c r="C9" s="397"/>
      <c r="D9" s="397"/>
      <c r="E9" s="397"/>
      <c r="F9" s="12">
        <f>SUM(F6:F7)</f>
        <v>800</v>
      </c>
      <c r="G9" s="397" t="s">
        <v>107</v>
      </c>
      <c r="H9" s="397"/>
      <c r="I9" s="397"/>
      <c r="J9" s="397"/>
      <c r="K9" s="10">
        <f>SUM(K6:K8)</f>
        <v>1903.7375</v>
      </c>
      <c r="L9" s="397" t="s">
        <v>109</v>
      </c>
      <c r="M9" s="397"/>
      <c r="N9" s="397"/>
      <c r="O9" s="397"/>
      <c r="P9" s="12">
        <f>SUM(P6:P7)</f>
        <v>0</v>
      </c>
    </row>
    <row r="10" spans="1:16" s="33" customFormat="1" x14ac:dyDescent="0.25">
      <c r="A10" s="381" t="s">
        <v>106</v>
      </c>
      <c r="B10" s="381"/>
      <c r="C10" s="381"/>
      <c r="D10" s="381"/>
      <c r="E10" s="381"/>
      <c r="F10" s="10">
        <f>SUM(F9,K9,P9)</f>
        <v>2703.7375000000002</v>
      </c>
      <c r="G10" s="381" t="s">
        <v>108</v>
      </c>
      <c r="H10" s="381"/>
      <c r="I10" s="381"/>
      <c r="J10" s="381"/>
      <c r="K10" s="381"/>
      <c r="L10" s="10">
        <f>F10*0.15</f>
        <v>405.56062500000002</v>
      </c>
      <c r="M10" s="382" t="s">
        <v>110</v>
      </c>
      <c r="N10" s="382"/>
      <c r="O10" s="382"/>
      <c r="P10" s="20">
        <f>TRUNC(SUM(F10,L10)/P2,2)</f>
        <v>3109.29</v>
      </c>
    </row>
    <row r="11" spans="1:16" s="31" customFormat="1" x14ac:dyDescent="0.25">
      <c r="A11" s="344"/>
      <c r="B11" s="19"/>
      <c r="C11" s="19"/>
      <c r="D11" s="19"/>
      <c r="E11" s="19"/>
      <c r="F11" s="19"/>
      <c r="G11" s="19"/>
      <c r="H11" s="19"/>
      <c r="I11" s="19"/>
      <c r="J11" s="19"/>
      <c r="K11" s="19"/>
      <c r="L11" s="19"/>
      <c r="M11" s="19"/>
      <c r="N11" s="19"/>
      <c r="O11" s="19"/>
      <c r="P11" s="345"/>
    </row>
    <row r="12" spans="1:16" x14ac:dyDescent="0.2">
      <c r="A12" s="351" t="s">
        <v>276</v>
      </c>
      <c r="B12" s="15"/>
      <c r="C12" s="15"/>
      <c r="D12" s="15"/>
      <c r="E12" s="15"/>
      <c r="F12" s="15"/>
      <c r="G12" s="15"/>
      <c r="H12" s="15"/>
      <c r="I12" s="15"/>
      <c r="J12" s="15"/>
      <c r="K12" s="15"/>
      <c r="L12" s="15"/>
      <c r="M12" s="15"/>
      <c r="N12" s="15"/>
      <c r="O12" s="15"/>
      <c r="P12" s="347"/>
    </row>
    <row r="13" spans="1:16" x14ac:dyDescent="0.2">
      <c r="A13" s="376" t="s">
        <v>96</v>
      </c>
      <c r="B13" s="376"/>
      <c r="C13" s="377" t="s">
        <v>277</v>
      </c>
      <c r="D13" s="377"/>
      <c r="E13" s="377"/>
      <c r="F13" s="377"/>
      <c r="G13" s="377"/>
      <c r="H13" s="377"/>
      <c r="I13" s="377"/>
      <c r="J13" s="377"/>
      <c r="K13" s="377"/>
      <c r="L13" s="377"/>
      <c r="M13" s="377"/>
      <c r="N13" s="377"/>
      <c r="O13" s="378" t="s">
        <v>85</v>
      </c>
      <c r="P13" s="5">
        <v>1</v>
      </c>
    </row>
    <row r="14" spans="1:16" x14ac:dyDescent="0.2">
      <c r="A14" s="395">
        <v>800</v>
      </c>
      <c r="B14" s="396"/>
      <c r="C14" s="377"/>
      <c r="D14" s="377"/>
      <c r="E14" s="377"/>
      <c r="F14" s="377"/>
      <c r="G14" s="377"/>
      <c r="H14" s="377"/>
      <c r="I14" s="377"/>
      <c r="J14" s="377"/>
      <c r="K14" s="377"/>
      <c r="L14" s="377"/>
      <c r="M14" s="377"/>
      <c r="N14" s="377"/>
      <c r="O14" s="378"/>
      <c r="P14" s="7" t="s">
        <v>92</v>
      </c>
    </row>
    <row r="15" spans="1:16" x14ac:dyDescent="0.2">
      <c r="A15" s="373" t="s">
        <v>98</v>
      </c>
      <c r="B15" s="374" t="s">
        <v>99</v>
      </c>
      <c r="C15" s="374"/>
      <c r="D15" s="374"/>
      <c r="E15" s="374"/>
      <c r="F15" s="374"/>
      <c r="G15" s="374" t="s">
        <v>100</v>
      </c>
      <c r="H15" s="374"/>
      <c r="I15" s="374"/>
      <c r="J15" s="374"/>
      <c r="K15" s="374"/>
      <c r="L15" s="374" t="s">
        <v>101</v>
      </c>
      <c r="M15" s="374"/>
      <c r="N15" s="374"/>
      <c r="O15" s="374"/>
      <c r="P15" s="374"/>
    </row>
    <row r="16" spans="1:16" x14ac:dyDescent="0.2">
      <c r="A16" s="373"/>
      <c r="B16" s="317" t="s">
        <v>102</v>
      </c>
      <c r="C16" s="317" t="s">
        <v>2</v>
      </c>
      <c r="D16" s="317" t="s">
        <v>103</v>
      </c>
      <c r="E16" s="317" t="s">
        <v>104</v>
      </c>
      <c r="F16" s="317" t="s">
        <v>86</v>
      </c>
      <c r="G16" s="317" t="s">
        <v>102</v>
      </c>
      <c r="H16" s="317" t="s">
        <v>2</v>
      </c>
      <c r="I16" s="317" t="s">
        <v>103</v>
      </c>
      <c r="J16" s="317" t="s">
        <v>104</v>
      </c>
      <c r="K16" s="317" t="s">
        <v>86</v>
      </c>
      <c r="L16" s="317" t="s">
        <v>102</v>
      </c>
      <c r="M16" s="317" t="s">
        <v>2</v>
      </c>
      <c r="N16" s="317" t="s">
        <v>103</v>
      </c>
      <c r="O16" s="317" t="s">
        <v>104</v>
      </c>
      <c r="P16" s="317" t="s">
        <v>86</v>
      </c>
    </row>
    <row r="17" spans="1:16" s="31" customFormat="1" x14ac:dyDescent="0.25">
      <c r="A17" s="373" t="s">
        <v>278</v>
      </c>
      <c r="B17" s="26" t="s">
        <v>87</v>
      </c>
      <c r="C17" s="26" t="s">
        <v>90</v>
      </c>
      <c r="D17" s="131">
        <v>0</v>
      </c>
      <c r="E17" s="24">
        <f>skilled</f>
        <v>1000</v>
      </c>
      <c r="F17" s="10">
        <f>TRUNC(D17*E17,2)</f>
        <v>0</v>
      </c>
      <c r="G17" s="22"/>
      <c r="H17" s="8"/>
      <c r="I17" s="10"/>
      <c r="J17" s="10"/>
      <c r="K17" s="10"/>
      <c r="L17" s="29" t="s">
        <v>279</v>
      </c>
      <c r="M17" s="8"/>
      <c r="N17" s="8"/>
      <c r="O17" s="11"/>
      <c r="P17" s="11">
        <f>F20*3%</f>
        <v>38.4</v>
      </c>
    </row>
    <row r="18" spans="1:16" s="31" customFormat="1" x14ac:dyDescent="0.25">
      <c r="A18" s="373"/>
      <c r="B18" s="26" t="s">
        <v>88</v>
      </c>
      <c r="C18" s="26" t="s">
        <v>90</v>
      </c>
      <c r="D18" s="24">
        <v>2</v>
      </c>
      <c r="E18" s="24">
        <f>E7</f>
        <v>640</v>
      </c>
      <c r="F18" s="10">
        <f>TRUNC(D18*E18,2)</f>
        <v>1280</v>
      </c>
      <c r="G18" s="8"/>
      <c r="H18" s="8"/>
      <c r="I18" s="10"/>
      <c r="J18" s="10"/>
      <c r="K18" s="10">
        <f>I18*J18/12</f>
        <v>0</v>
      </c>
      <c r="L18" s="317"/>
      <c r="M18" s="317"/>
      <c r="N18" s="317"/>
      <c r="O18" s="27"/>
      <c r="P18" s="11">
        <f>N18*O18</f>
        <v>0</v>
      </c>
    </row>
    <row r="19" spans="1:16" s="31" customFormat="1" x14ac:dyDescent="0.25">
      <c r="A19" s="316"/>
      <c r="B19" s="26"/>
      <c r="C19" s="26"/>
      <c r="D19" s="24"/>
      <c r="E19" s="24"/>
      <c r="F19" s="10"/>
      <c r="G19" s="8"/>
      <c r="H19" s="8"/>
      <c r="I19" s="10"/>
      <c r="J19" s="10"/>
      <c r="K19" s="10">
        <f t="shared" ref="K19" si="1">I19*J19</f>
        <v>0</v>
      </c>
      <c r="L19" s="317"/>
      <c r="M19" s="317"/>
      <c r="N19" s="317"/>
      <c r="O19" s="317"/>
      <c r="P19" s="11"/>
    </row>
    <row r="20" spans="1:16" s="32" customFormat="1" x14ac:dyDescent="0.25">
      <c r="A20" s="397" t="s">
        <v>105</v>
      </c>
      <c r="B20" s="397"/>
      <c r="C20" s="397"/>
      <c r="D20" s="397"/>
      <c r="E20" s="397"/>
      <c r="F20" s="12">
        <f>SUM(F17:F18)</f>
        <v>1280</v>
      </c>
      <c r="G20" s="397" t="s">
        <v>107</v>
      </c>
      <c r="H20" s="397"/>
      <c r="I20" s="397"/>
      <c r="J20" s="397"/>
      <c r="K20" s="10">
        <f>SUM(K17:K19)</f>
        <v>0</v>
      </c>
      <c r="L20" s="397" t="s">
        <v>109</v>
      </c>
      <c r="M20" s="397"/>
      <c r="N20" s="397"/>
      <c r="O20" s="397"/>
      <c r="P20" s="12">
        <f>SUM(P17:P18)</f>
        <v>38.4</v>
      </c>
    </row>
    <row r="21" spans="1:16" s="33" customFormat="1" x14ac:dyDescent="0.25">
      <c r="A21" s="381" t="s">
        <v>106</v>
      </c>
      <c r="B21" s="381"/>
      <c r="C21" s="381"/>
      <c r="D21" s="381"/>
      <c r="E21" s="381"/>
      <c r="F21" s="10">
        <f>SUM(F20,K20,P20)</f>
        <v>1318.4</v>
      </c>
      <c r="G21" s="381" t="s">
        <v>108</v>
      </c>
      <c r="H21" s="381"/>
      <c r="I21" s="381"/>
      <c r="J21" s="381"/>
      <c r="K21" s="381"/>
      <c r="L21" s="10">
        <f>F21*0.15</f>
        <v>197.76000000000002</v>
      </c>
      <c r="M21" s="382" t="s">
        <v>110</v>
      </c>
      <c r="N21" s="382"/>
      <c r="O21" s="382"/>
      <c r="P21" s="20">
        <f>TRUNC(SUM(F21,L21)/P13,2)</f>
        <v>1516.16</v>
      </c>
    </row>
  </sheetData>
  <mergeCells count="31">
    <mergeCell ref="A17:A18"/>
    <mergeCell ref="A20:E20"/>
    <mergeCell ref="G20:J20"/>
    <mergeCell ref="L20:O20"/>
    <mergeCell ref="A21:E21"/>
    <mergeCell ref="G21:K21"/>
    <mergeCell ref="M21:O21"/>
    <mergeCell ref="A13:B13"/>
    <mergeCell ref="C13:N14"/>
    <mergeCell ref="O13:O14"/>
    <mergeCell ref="A14:B14"/>
    <mergeCell ref="A15:A16"/>
    <mergeCell ref="B15:F15"/>
    <mergeCell ref="G15:K15"/>
    <mergeCell ref="L15:P15"/>
    <mergeCell ref="A6:A7"/>
    <mergeCell ref="A9:E9"/>
    <mergeCell ref="G9:J9"/>
    <mergeCell ref="L9:O9"/>
    <mergeCell ref="A10:E10"/>
    <mergeCell ref="G10:K10"/>
    <mergeCell ref="M10:O10"/>
    <mergeCell ref="A4:A5"/>
    <mergeCell ref="B4:F4"/>
    <mergeCell ref="G4:K4"/>
    <mergeCell ref="L4:P4"/>
    <mergeCell ref="A1:P1"/>
    <mergeCell ref="A2:B2"/>
    <mergeCell ref="C2:N3"/>
    <mergeCell ref="O2:O3"/>
    <mergeCell ref="A3:B3"/>
  </mergeCells>
  <pageMargins left="0.70866141732283472" right="0.70866141732283472" top="0.74803149606299213" bottom="0.74803149606299213" header="0.31496062992125984" footer="0.31496062992125984"/>
  <pageSetup paperSize="9" scale="75" orientation="landscape" r:id="rId1"/>
  <headerFooter>
    <oddFooter>&amp;LPrepared By:&amp;CChecked By:&amp;RApproved By:</oddFooter>
  </headerFooter>
  <ignoredErrors>
    <ignoredError sqref="K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Summary_of_rate</vt:lpstr>
      <vt:lpstr>basic_rates</vt:lpstr>
      <vt:lpstr>EARTHWORK900</vt:lpstr>
      <vt:lpstr>MASONRY2600</vt:lpstr>
      <vt:lpstr>GABION2400</vt:lpstr>
      <vt:lpstr>CONCRETE2000</vt:lpstr>
      <vt:lpstr>Hume_Pipes</vt:lpstr>
      <vt:lpstr>FORMWORK1800</vt:lpstr>
      <vt:lpstr>soling_gravel</vt:lpstr>
      <vt:lpstr>TRANSPORT800</vt:lpstr>
      <vt:lpstr>loading_unloading</vt:lpstr>
      <vt:lpstr>collection_rate</vt:lpstr>
      <vt:lpstr>District rate</vt:lpstr>
      <vt:lpstr>basic_rates!Print_Area</vt:lpstr>
      <vt:lpstr>'District rate'!Print_Area</vt:lpstr>
      <vt:lpstr>GABION2400!Print_Area</vt:lpstr>
      <vt:lpstr>loading_unloading!Print_Area</vt:lpstr>
      <vt:lpstr>skilled</vt:lpstr>
      <vt:lpstr>stone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2021-12-19T08:44:22Z</dcterms:modified>
</cp:coreProperties>
</file>